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/>
  <bookViews>
    <workbookView xWindow="0" yWindow="180" windowWidth="15480" windowHeight="11580" tabRatio="690" activeTab="11"/>
  </bookViews>
  <sheets>
    <sheet name="Enero" sheetId="1" r:id="rId1"/>
    <sheet name="Febrero" sheetId="6" r:id="rId2"/>
    <sheet name="Marzo" sheetId="7" r:id="rId3"/>
    <sheet name="Abril" sheetId="8" r:id="rId4"/>
    <sheet name="Mayo" sheetId="9" r:id="rId5"/>
    <sheet name="Junio" sheetId="10" r:id="rId6"/>
    <sheet name="Julio" sheetId="11" r:id="rId7"/>
    <sheet name="Agosto" sheetId="12" r:id="rId8"/>
    <sheet name="Septiembre" sheetId="13" r:id="rId9"/>
    <sheet name="Octubre" sheetId="14" r:id="rId10"/>
    <sheet name="Noviembre" sheetId="15" r:id="rId11"/>
    <sheet name="Diciembre" sheetId="16" r:id="rId12"/>
  </sheets>
  <definedNames>
    <definedName name="AbrDom1">DATE(Año_Calendario,4,1)-WEEKDAY(DATE(Año_Calendario,4,1))+1</definedName>
    <definedName name="AgoDom1">DATE(Año_Calendario,8,1)-WEEKDAY(DATE(Año_Calendario,8,1))+1</definedName>
    <definedName name="Año_Calendario">Enero!$N$2</definedName>
    <definedName name="_xlnm.Print_Area" localSheetId="3">Abril!$A$1:$M$50</definedName>
    <definedName name="_xlnm.Print_Area" localSheetId="7">Agosto!$A$1:$M$50</definedName>
    <definedName name="_xlnm.Print_Area" localSheetId="11">Diciembre!$A$1:$M$50</definedName>
    <definedName name="_xlnm.Print_Area" localSheetId="0">Enero!$A$1:$M$50</definedName>
    <definedName name="_xlnm.Print_Area" localSheetId="1">Febrero!$A$1:$M$50</definedName>
    <definedName name="_xlnm.Print_Area" localSheetId="6">Julio!$A$1:$M$50</definedName>
    <definedName name="_xlnm.Print_Area" localSheetId="5">Junio!$A$1:$M$50</definedName>
    <definedName name="_xlnm.Print_Area" localSheetId="2">Marzo!$A$1:$M$50</definedName>
    <definedName name="_xlnm.Print_Area" localSheetId="4">Mayo!$A$1:$M$50</definedName>
    <definedName name="_xlnm.Print_Area" localSheetId="10">Noviembre!$A$1:$M$50</definedName>
    <definedName name="_xlnm.Print_Area" localSheetId="9">Octubre!$A$1:$M$50</definedName>
    <definedName name="_xlnm.Print_Area" localSheetId="8">Septiembre!$A$1:$M$50</definedName>
    <definedName name="DíasDeTareas" localSheetId="3">Abril!$L$4:$L$33</definedName>
    <definedName name="DíasDeTareas" localSheetId="7">Agosto!$L$4:$L$33</definedName>
    <definedName name="DíasDeTareas" localSheetId="11">Diciembre!$L$4:$L$33</definedName>
    <definedName name="DíasDeTareas" localSheetId="1">Febrero!$L$4:$L$33</definedName>
    <definedName name="DíasDeTareas" localSheetId="6">Julio!$L$4:$L$33</definedName>
    <definedName name="DíasDeTareas" localSheetId="5">Junio!$L$4:$L$33</definedName>
    <definedName name="DíasDeTareas" localSheetId="2">Marzo!$L$4:$L$33</definedName>
    <definedName name="DíasDeTareas" localSheetId="4">Mayo!$L$4:$L$33</definedName>
    <definedName name="DíasDeTareas" localSheetId="10">Noviembre!$L$4:$L$33</definedName>
    <definedName name="DíasDeTareas" localSheetId="9">Octubre!$L$4:$L$33</definedName>
    <definedName name="DíasDeTareas" localSheetId="8">Septiembre!$L$4:$L$33</definedName>
    <definedName name="DíasDeTareas">Enero!$L$4:$L$33</definedName>
    <definedName name="DicDom1">DATE(Año_Calendario,12,1)-WEEKDAY(DATE(Año_Calendario,12,1))+1</definedName>
    <definedName name="FebDom1">DATE(Año_Calendario,2,1)-WEEKDAY(DATE(Año_Calendario,2,1))+1</definedName>
    <definedName name="JanSun1">DATE(Año_Calendario,1,1)-WEEKDAY(DATE(Año_Calendario,1,1))+1</definedName>
    <definedName name="JulDom1">DATE(Año_Calendario,7,1)-WEEKDAY(DATE(Año_Calendario,7,1))+1</definedName>
    <definedName name="JunDom1">DATE(Año_Calendario,6,1)-WEEKDAY(DATE(Año_Calendario,6,1))+1</definedName>
    <definedName name="MarDom1">DATE(Año_Calendario,3,1)-WEEKDAY(DATE(Año_Calendario,3,1))+1</definedName>
    <definedName name="MayDom1">DATE(Año_Calendario,5,1)-WEEKDAY(DATE(Año_Calendario,5,1))+1</definedName>
    <definedName name="NovDom1">DATE(Año_Calendario,11,1)-WEEKDAY(DATE(Año_Calendario,11,1))+1</definedName>
    <definedName name="OctDom1">DATE(Año_Calendario,10,1)-WEEKDAY(DATE(Año_Calendario,10,1))+1</definedName>
    <definedName name="SepDom1">DATE(Año_Calendario,9,1)-WEEKDAY(DATE(Año_Calendario,9,1))+1</definedName>
    <definedName name="TablaFechasImportantes" localSheetId="3">Abril!$L$4:$M$8</definedName>
    <definedName name="TablaFechasImportantes" localSheetId="7">Agosto!$L$4:$M$8</definedName>
    <definedName name="TablaFechasImportantes" localSheetId="11">Diciembre!$L$4:$M$8</definedName>
    <definedName name="TablaFechasImportantes" localSheetId="1">Febrero!$L$4:$M$8</definedName>
    <definedName name="TablaFechasImportantes" localSheetId="6">Julio!$L$4:$M$8</definedName>
    <definedName name="TablaFechasImportantes" localSheetId="5">Junio!$L$4:$M$8</definedName>
    <definedName name="TablaFechasImportantes" localSheetId="2">Marzo!$L$4:$M$8</definedName>
    <definedName name="TablaFechasImportantes" localSheetId="4">Mayo!$L$4:$M$8</definedName>
    <definedName name="TablaFechasImportantes" localSheetId="10">Noviembre!$L$4:$M$8</definedName>
    <definedName name="TablaFechasImportantes" localSheetId="9">Octubre!$L$4:$M$8</definedName>
    <definedName name="TablaFechasImportantes" localSheetId="8">Septiembre!$L$4:$M$8</definedName>
    <definedName name="TablaFechasImportantes">Enero!$L$4:$M$8</definedName>
  </definedName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9" i="8" l="1"/>
  <c r="H9" i="8"/>
  <c r="G9" i="8"/>
  <c r="F9" i="8"/>
  <c r="E9" i="8"/>
  <c r="D9" i="8"/>
  <c r="C9" i="8"/>
  <c r="I8" i="8"/>
  <c r="H8" i="8"/>
  <c r="G8" i="8"/>
  <c r="F8" i="8"/>
  <c r="E8" i="8"/>
  <c r="D8" i="8"/>
  <c r="C8" i="8"/>
  <c r="I7" i="8"/>
  <c r="H7" i="8"/>
  <c r="G7" i="8"/>
  <c r="F7" i="8"/>
  <c r="E7" i="8"/>
  <c r="D7" i="8"/>
  <c r="C7" i="8"/>
  <c r="I6" i="8"/>
  <c r="H6" i="8"/>
  <c r="G6" i="8"/>
  <c r="F6" i="8"/>
  <c r="E6" i="8"/>
  <c r="D6" i="8"/>
  <c r="C6" i="8"/>
  <c r="I5" i="8"/>
  <c r="H5" i="8"/>
  <c r="G5" i="8"/>
  <c r="F5" i="8"/>
  <c r="E5" i="8"/>
  <c r="D5" i="8"/>
  <c r="C5" i="8"/>
  <c r="I4" i="8"/>
  <c r="H4" i="8"/>
  <c r="G4" i="8"/>
  <c r="F4" i="8"/>
  <c r="E4" i="8"/>
  <c r="D4" i="8"/>
  <c r="C4" i="8"/>
  <c r="I9" i="16"/>
  <c r="H9" i="16"/>
  <c r="G9" i="16"/>
  <c r="F9" i="16"/>
  <c r="E9" i="16"/>
  <c r="D9" i="16"/>
  <c r="C9" i="16"/>
  <c r="I8" i="16"/>
  <c r="H8" i="16"/>
  <c r="G8" i="16"/>
  <c r="F8" i="16"/>
  <c r="E8" i="16"/>
  <c r="D8" i="16"/>
  <c r="C8" i="16"/>
  <c r="I7" i="16"/>
  <c r="H7" i="16"/>
  <c r="G7" i="16"/>
  <c r="F7" i="16"/>
  <c r="E7" i="16"/>
  <c r="D7" i="16"/>
  <c r="C7" i="16"/>
  <c r="I6" i="16"/>
  <c r="H6" i="16"/>
  <c r="G6" i="16"/>
  <c r="F6" i="16"/>
  <c r="E6" i="16"/>
  <c r="D6" i="16"/>
  <c r="C6" i="16"/>
  <c r="I5" i="16"/>
  <c r="H5" i="16"/>
  <c r="G5" i="16"/>
  <c r="F5" i="16"/>
  <c r="E5" i="16"/>
  <c r="D5" i="16"/>
  <c r="C5" i="16"/>
  <c r="I4" i="16"/>
  <c r="H4" i="16"/>
  <c r="G4" i="16"/>
  <c r="F4" i="16"/>
  <c r="E4" i="16"/>
  <c r="D4" i="16"/>
  <c r="C4" i="16"/>
  <c r="I9" i="15"/>
  <c r="H9" i="15"/>
  <c r="G9" i="15"/>
  <c r="F9" i="15"/>
  <c r="E9" i="15"/>
  <c r="D9" i="15"/>
  <c r="C9" i="15"/>
  <c r="I8" i="15"/>
  <c r="H8" i="15"/>
  <c r="G8" i="15"/>
  <c r="F8" i="15"/>
  <c r="E8" i="15"/>
  <c r="D8" i="15"/>
  <c r="C8" i="15"/>
  <c r="I7" i="15"/>
  <c r="H7" i="15"/>
  <c r="G7" i="15"/>
  <c r="F7" i="15"/>
  <c r="E7" i="15"/>
  <c r="D7" i="15"/>
  <c r="C7" i="15"/>
  <c r="I6" i="15"/>
  <c r="H6" i="15"/>
  <c r="G6" i="15"/>
  <c r="F6" i="15"/>
  <c r="E6" i="15"/>
  <c r="D6" i="15"/>
  <c r="C6" i="15"/>
  <c r="I5" i="15"/>
  <c r="H5" i="15"/>
  <c r="G5" i="15"/>
  <c r="F5" i="15"/>
  <c r="E5" i="15"/>
  <c r="D5" i="15"/>
  <c r="C5" i="15"/>
  <c r="I4" i="15"/>
  <c r="H4" i="15"/>
  <c r="G4" i="15"/>
  <c r="F4" i="15"/>
  <c r="E4" i="15"/>
  <c r="D4" i="15"/>
  <c r="C4" i="15"/>
  <c r="I9" i="14"/>
  <c r="H9" i="14"/>
  <c r="G9" i="14"/>
  <c r="F9" i="14"/>
  <c r="E9" i="14"/>
  <c r="D9" i="14"/>
  <c r="C9" i="14"/>
  <c r="I8" i="14"/>
  <c r="H8" i="14"/>
  <c r="G8" i="14"/>
  <c r="F8" i="14"/>
  <c r="E8" i="14"/>
  <c r="D8" i="14"/>
  <c r="C8" i="14"/>
  <c r="I7" i="14"/>
  <c r="H7" i="14"/>
  <c r="G7" i="14"/>
  <c r="F7" i="14"/>
  <c r="E7" i="14"/>
  <c r="D7" i="14"/>
  <c r="C7" i="14"/>
  <c r="I6" i="14"/>
  <c r="H6" i="14"/>
  <c r="G6" i="14"/>
  <c r="F6" i="14"/>
  <c r="E6" i="14"/>
  <c r="D6" i="14"/>
  <c r="C6" i="14"/>
  <c r="I5" i="14"/>
  <c r="H5" i="14"/>
  <c r="G5" i="14"/>
  <c r="F5" i="14"/>
  <c r="E5" i="14"/>
  <c r="D5" i="14"/>
  <c r="C5" i="14"/>
  <c r="I4" i="14"/>
  <c r="H4" i="14"/>
  <c r="G4" i="14"/>
  <c r="F4" i="14"/>
  <c r="E4" i="14"/>
  <c r="D4" i="14"/>
  <c r="C4" i="14"/>
  <c r="I9" i="13"/>
  <c r="H9" i="13"/>
  <c r="G9" i="13"/>
  <c r="F9" i="13"/>
  <c r="E9" i="13"/>
  <c r="D9" i="13"/>
  <c r="C9" i="13"/>
  <c r="I8" i="13"/>
  <c r="H8" i="13"/>
  <c r="G8" i="13"/>
  <c r="F8" i="13"/>
  <c r="E8" i="13"/>
  <c r="D8" i="13"/>
  <c r="C8" i="13"/>
  <c r="I7" i="13"/>
  <c r="H7" i="13"/>
  <c r="G7" i="13"/>
  <c r="F7" i="13"/>
  <c r="E7" i="13"/>
  <c r="D7" i="13"/>
  <c r="C7" i="13"/>
  <c r="I6" i="13"/>
  <c r="H6" i="13"/>
  <c r="G6" i="13"/>
  <c r="F6" i="13"/>
  <c r="E6" i="13"/>
  <c r="D6" i="13"/>
  <c r="C6" i="13"/>
  <c r="I5" i="13"/>
  <c r="H5" i="13"/>
  <c r="G5" i="13"/>
  <c r="F5" i="13"/>
  <c r="E5" i="13"/>
  <c r="D5" i="13"/>
  <c r="C5" i="13"/>
  <c r="I4" i="13"/>
  <c r="H4" i="13"/>
  <c r="G4" i="13"/>
  <c r="F4" i="13"/>
  <c r="E4" i="13"/>
  <c r="D4" i="13"/>
  <c r="C4" i="13"/>
  <c r="I9" i="12"/>
  <c r="H9" i="12"/>
  <c r="G9" i="12"/>
  <c r="F9" i="12"/>
  <c r="E9" i="12"/>
  <c r="D9" i="12"/>
  <c r="C9" i="12"/>
  <c r="I8" i="12"/>
  <c r="H8" i="12"/>
  <c r="G8" i="12"/>
  <c r="F8" i="12"/>
  <c r="E8" i="12"/>
  <c r="D8" i="12"/>
  <c r="C8" i="12"/>
  <c r="I7" i="12"/>
  <c r="H7" i="12"/>
  <c r="G7" i="12"/>
  <c r="F7" i="12"/>
  <c r="E7" i="12"/>
  <c r="D7" i="12"/>
  <c r="C7" i="12"/>
  <c r="I6" i="12"/>
  <c r="H6" i="12"/>
  <c r="G6" i="12"/>
  <c r="F6" i="12"/>
  <c r="E6" i="12"/>
  <c r="D6" i="12"/>
  <c r="C6" i="12"/>
  <c r="I5" i="12"/>
  <c r="H5" i="12"/>
  <c r="G5" i="12"/>
  <c r="F5" i="12"/>
  <c r="E5" i="12"/>
  <c r="D5" i="12"/>
  <c r="C5" i="12"/>
  <c r="I4" i="12"/>
  <c r="H4" i="12"/>
  <c r="G4" i="12"/>
  <c r="F4" i="12"/>
  <c r="E4" i="12"/>
  <c r="D4" i="12"/>
  <c r="C4" i="12"/>
  <c r="I9" i="11"/>
  <c r="H9" i="11"/>
  <c r="G9" i="11"/>
  <c r="F9" i="11"/>
  <c r="E9" i="11"/>
  <c r="D9" i="11"/>
  <c r="C9" i="11"/>
  <c r="I8" i="11"/>
  <c r="H8" i="11"/>
  <c r="G8" i="11"/>
  <c r="F8" i="11"/>
  <c r="E8" i="11"/>
  <c r="D8" i="11"/>
  <c r="C8" i="11"/>
  <c r="I7" i="11"/>
  <c r="H7" i="11"/>
  <c r="G7" i="11"/>
  <c r="F7" i="11"/>
  <c r="E7" i="11"/>
  <c r="D7" i="11"/>
  <c r="C7" i="11"/>
  <c r="I6" i="11"/>
  <c r="H6" i="11"/>
  <c r="G6" i="11"/>
  <c r="F6" i="11"/>
  <c r="E6" i="11"/>
  <c r="D6" i="11"/>
  <c r="C6" i="11"/>
  <c r="I5" i="11"/>
  <c r="H5" i="11"/>
  <c r="G5" i="11"/>
  <c r="F5" i="11"/>
  <c r="E5" i="11"/>
  <c r="D5" i="11"/>
  <c r="C5" i="11"/>
  <c r="I4" i="11"/>
  <c r="H4" i="11"/>
  <c r="G4" i="11"/>
  <c r="F4" i="11"/>
  <c r="E4" i="11"/>
  <c r="D4" i="11"/>
  <c r="C4" i="11"/>
  <c r="I9" i="10"/>
  <c r="H9" i="10"/>
  <c r="G9" i="10"/>
  <c r="F9" i="10"/>
  <c r="E9" i="10"/>
  <c r="D9" i="10"/>
  <c r="C9" i="10"/>
  <c r="I8" i="10"/>
  <c r="H8" i="10"/>
  <c r="G8" i="10"/>
  <c r="F8" i="10"/>
  <c r="E8" i="10"/>
  <c r="D8" i="10"/>
  <c r="C8" i="10"/>
  <c r="I7" i="10"/>
  <c r="H7" i="10"/>
  <c r="G7" i="10"/>
  <c r="F7" i="10"/>
  <c r="E7" i="10"/>
  <c r="D7" i="10"/>
  <c r="C7" i="10"/>
  <c r="I6" i="10"/>
  <c r="H6" i="10"/>
  <c r="G6" i="10"/>
  <c r="F6" i="10"/>
  <c r="E6" i="10"/>
  <c r="D6" i="10"/>
  <c r="C6" i="10"/>
  <c r="I5" i="10"/>
  <c r="H5" i="10"/>
  <c r="G5" i="10"/>
  <c r="F5" i="10"/>
  <c r="E5" i="10"/>
  <c r="D5" i="10"/>
  <c r="C5" i="10"/>
  <c r="I4" i="10"/>
  <c r="H4" i="10"/>
  <c r="G4" i="10"/>
  <c r="F4" i="10"/>
  <c r="E4" i="10"/>
  <c r="D4" i="10"/>
  <c r="C4" i="10"/>
  <c r="I9" i="9"/>
  <c r="H9" i="9"/>
  <c r="G9" i="9"/>
  <c r="F9" i="9"/>
  <c r="E9" i="9"/>
  <c r="D9" i="9"/>
  <c r="C9" i="9"/>
  <c r="I8" i="9"/>
  <c r="H8" i="9"/>
  <c r="G8" i="9"/>
  <c r="F8" i="9"/>
  <c r="E8" i="9"/>
  <c r="D8" i="9"/>
  <c r="C8" i="9"/>
  <c r="I7" i="9"/>
  <c r="H7" i="9"/>
  <c r="G7" i="9"/>
  <c r="F7" i="9"/>
  <c r="E7" i="9"/>
  <c r="D7" i="9"/>
  <c r="C7" i="9"/>
  <c r="I6" i="9"/>
  <c r="H6" i="9"/>
  <c r="G6" i="9"/>
  <c r="F6" i="9"/>
  <c r="E6" i="9"/>
  <c r="D6" i="9"/>
  <c r="C6" i="9"/>
  <c r="I5" i="9"/>
  <c r="H5" i="9"/>
  <c r="G5" i="9"/>
  <c r="F5" i="9"/>
  <c r="E5" i="9"/>
  <c r="D5" i="9"/>
  <c r="C5" i="9"/>
  <c r="I4" i="9"/>
  <c r="H4" i="9"/>
  <c r="G4" i="9"/>
  <c r="F4" i="9"/>
  <c r="E4" i="9"/>
  <c r="D4" i="9"/>
  <c r="C4" i="9"/>
  <c r="I9" i="7"/>
  <c r="H9" i="7"/>
  <c r="G9" i="7"/>
  <c r="F9" i="7"/>
  <c r="E9" i="7"/>
  <c r="D9" i="7"/>
  <c r="C9" i="7"/>
  <c r="I8" i="7"/>
  <c r="H8" i="7"/>
  <c r="G8" i="7"/>
  <c r="F8" i="7"/>
  <c r="E8" i="7"/>
  <c r="D8" i="7"/>
  <c r="C8" i="7"/>
  <c r="I7" i="7"/>
  <c r="H7" i="7"/>
  <c r="G7" i="7"/>
  <c r="F7" i="7"/>
  <c r="E7" i="7"/>
  <c r="D7" i="7"/>
  <c r="C7" i="7"/>
  <c r="I6" i="7"/>
  <c r="H6" i="7"/>
  <c r="G6" i="7"/>
  <c r="F6" i="7"/>
  <c r="E6" i="7"/>
  <c r="D6" i="7"/>
  <c r="C6" i="7"/>
  <c r="I5" i="7"/>
  <c r="H5" i="7"/>
  <c r="G5" i="7"/>
  <c r="F5" i="7"/>
  <c r="E5" i="7"/>
  <c r="D5" i="7"/>
  <c r="C5" i="7"/>
  <c r="I4" i="7"/>
  <c r="H4" i="7"/>
  <c r="G4" i="7"/>
  <c r="F4" i="7"/>
  <c r="E4" i="7"/>
  <c r="D4" i="7"/>
  <c r="C4" i="7"/>
  <c r="I9" i="6"/>
  <c r="H9" i="6"/>
  <c r="G9" i="6"/>
  <c r="F9" i="6"/>
  <c r="E9" i="6"/>
  <c r="D9" i="6"/>
  <c r="C9" i="6"/>
  <c r="I8" i="6"/>
  <c r="H8" i="6"/>
  <c r="G8" i="6"/>
  <c r="F8" i="6"/>
  <c r="E8" i="6"/>
  <c r="D8" i="6"/>
  <c r="C8" i="6"/>
  <c r="I7" i="6"/>
  <c r="H7" i="6"/>
  <c r="G7" i="6"/>
  <c r="F7" i="6"/>
  <c r="E7" i="6"/>
  <c r="D7" i="6"/>
  <c r="C7" i="6"/>
  <c r="I6" i="6"/>
  <c r="H6" i="6"/>
  <c r="G6" i="6"/>
  <c r="F6" i="6"/>
  <c r="E6" i="6"/>
  <c r="D6" i="6"/>
  <c r="C6" i="6"/>
  <c r="I5" i="6"/>
  <c r="H5" i="6"/>
  <c r="G5" i="6"/>
  <c r="F5" i="6"/>
  <c r="E5" i="6"/>
  <c r="D5" i="6"/>
  <c r="C5" i="6"/>
  <c r="I4" i="6"/>
  <c r="H4" i="6"/>
  <c r="G4" i="6"/>
  <c r="F4" i="6"/>
  <c r="E4" i="6"/>
  <c r="D4" i="6"/>
  <c r="C4" i="6"/>
  <c r="H4" i="1" l="1"/>
  <c r="I9" i="1" l="1"/>
  <c r="H9" i="1"/>
  <c r="G9" i="1"/>
  <c r="F9" i="1"/>
  <c r="E9" i="1"/>
  <c r="D9" i="1"/>
  <c r="C9" i="1"/>
  <c r="I8" i="1"/>
  <c r="H8" i="1"/>
  <c r="G8" i="1"/>
  <c r="F8" i="1"/>
  <c r="E8" i="1"/>
  <c r="D8" i="1"/>
  <c r="C8" i="1"/>
  <c r="I7" i="1"/>
  <c r="H7" i="1"/>
  <c r="G7" i="1"/>
  <c r="F7" i="1"/>
  <c r="E7" i="1"/>
  <c r="D7" i="1"/>
  <c r="C7" i="1"/>
  <c r="I6" i="1"/>
  <c r="H6" i="1"/>
  <c r="G6" i="1"/>
  <c r="F6" i="1"/>
  <c r="E6" i="1"/>
  <c r="D6" i="1"/>
  <c r="C6" i="1"/>
  <c r="I5" i="1"/>
  <c r="H5" i="1"/>
  <c r="G5" i="1"/>
  <c r="F5" i="1"/>
  <c r="E5" i="1"/>
  <c r="D5" i="1"/>
  <c r="C5" i="1"/>
  <c r="I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<sst xmlns="http://schemas.openxmlformats.org/spreadsheetml/2006/main" count="287" uniqueCount="52">
  <si>
    <t>S</t>
  </si>
  <si>
    <t>M</t>
  </si>
  <si>
    <t>TAREAS</t>
  </si>
  <si>
    <t>ENERO</t>
  </si>
  <si>
    <t>L</t>
  </si>
  <si>
    <t>X</t>
  </si>
  <si>
    <t>J</t>
  </si>
  <si>
    <t>V</t>
  </si>
  <si>
    <t>D</t>
  </si>
  <si>
    <t>DICIEMBRE</t>
  </si>
  <si>
    <t>HORARIO SEMANAL</t>
  </si>
  <si>
    <t>LUN</t>
  </si>
  <si>
    <t>MAR</t>
  </si>
  <si>
    <t>MIÉ</t>
  </si>
  <si>
    <t>JUE</t>
  </si>
  <si>
    <t>VIE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</si>
  <si>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</si>
  <si>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</si>
  <si>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</si>
  <si>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</si>
  <si>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</si>
  <si>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</si>
  <si>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</si>
  <si>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</si>
  <si>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</si>
  <si>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</si>
  <si>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Nota:  las actividades frecuentes de la unidad de Transparencia son: contestar solicitudes de informacion, proteccion de datos personales, solucion a Recursos,asesoria a áreas del ayuntamiento, comunicación con el ITEI, estadisticas.</t>
  </si>
  <si>
    <t>del 25 febrero al 06 de marzo apoyo en eventos de carnaval 2019</t>
  </si>
  <si>
    <t>Nota:  las actividades frecuentes de la unidad de Transparencia son: contestar solicitudes de informacion, proteccion de datos personales, solucion a Recursos,asesoria a áreas del ayuntamiento, comunicación con el ITEI, estadisticas, sabado 23 reunion casa de la cultura con Maguistrada y diputada Irma de Anda.</t>
  </si>
  <si>
    <t>Reunión con presidente</t>
  </si>
  <si>
    <t>Reunión de archivos, Reunión con presidente, Recepción de solicitudes de transparencia, Contestación a solicitudes de transparencia, Asesoría a compañeros directores, regidores, agentes, y delegados. Acomodos de folios del mes de julio y agosto del 2019</t>
  </si>
  <si>
    <t>Respuesta al recurso de Transparencia, Respuesta al Recurso de Revisión de PDP, Respuesta al aviso de privacidad, Recepción de solicitudes de transparencia, Contestación a solicitudes de transparencia, Asesoría a compañeros directores, regidores, agentes y delegados</t>
  </si>
  <si>
    <t xml:space="preserve">Actualización de la página web, Contestación a Recurso de Transparencia, Recepción de solicitudes de transparencia, Contestación a solicitudes de transparencia, Indizar mes de ju lio de 2019 Actualizar página de PNT, Asesoría a compañeros directores, regidores, agentes y delegados </t>
  </si>
  <si>
    <t>Recepción de solicitudes de transparencia,  contestación a solicitudes de transparencia, Actualizar  página de PNT, Indizar lefort, Contestación a solicitudes de transparencia</t>
  </si>
  <si>
    <t>Carga de información en la PNT, Recepción de comprobantes de la PNT</t>
  </si>
  <si>
    <t xml:space="preserve">Contestación a recurso de transparencia, Capacitación den sistema Sapumu, Contestación a solicitudes de transparencia, </t>
  </si>
  <si>
    <t>Indizar leford</t>
  </si>
  <si>
    <t>Indizar lefort, Asesoría en sistema SAPUMU y PNT, Revisión y capacitación en sistemas de transparencia</t>
  </si>
  <si>
    <t xml:space="preserve"> Recepción de solicitudes de transparencia, Contestación a solicitudes de transparencia Asesoría a compañeros directores, regidores, agentes y delegados</t>
  </si>
  <si>
    <t>Indizar lefort de septiembre  y octubre 2019, Foliar lefort de septiembre y octubre 2019 Actualizar PNT, Recepción de solicitudes de transparencia, Contestación a solicitudes de transparencia, Asesoría a compañeros directores, regidores, agentes y delegados.</t>
  </si>
  <si>
    <t xml:space="preserve">Validación de archivos en Sapumu, Recepción de solicitudes de transparencia, Contestación a solicitudes de transparencia, Asesoría a compañeros directores, regidores, agentes y delegados.
</t>
  </si>
  <si>
    <t>Asesoría en Sapumu, Indizar lefort, Asignación de artículos y fracción en sistema de SapumuRecepción de solicitudes de transparencia, Contestación a solicitudes de transparencia, Asesoría a compañeros directores, regidores, agentes y delegados</t>
  </si>
  <si>
    <t>Asignación de artículos y fracción en sistema de Sapumu, Verificación de archivos en sistema Sapumu, Actualización de página Sapumu, Cumplimiento a recursos de transparencia</t>
  </si>
  <si>
    <t>Validación de archivos en Sapumu, Recepción de solicitudes de transparencia, Contestación a solicitudes de transparencia, Asesoría a compañeros directores, regidores, agentes y delegados, Cumplimiento al recurso de revisión</t>
  </si>
  <si>
    <t>Ficha técnica de archivos, Indizar mes de febrero</t>
  </si>
  <si>
    <t>Preventivas de COVID-19, Asesoría con ITEI vía telefónica, Organización de guardias</t>
  </si>
  <si>
    <t>I S.E. del comité de transparencia,Recepción de solicitudes de transparencia, Contestación a solicitudes de transparencia, Asesoría a compañeros directores, regidores, agentes y delegados.</t>
  </si>
  <si>
    <t>nota</t>
  </si>
  <si>
    <t>Suspensión por COVID-19, Realizando guardias por medidas de seguridad estipuladas por los gobiernos Federales, Estatales y Municipales, así como del ITEI, Recepción de solicitudes de transparencia,  Contestación a solicitudes de transparencia.</t>
  </si>
  <si>
    <t xml:space="preserve">nota: </t>
  </si>
  <si>
    <t>Incapacidad de Titular de la Unidad de Transparencia</t>
  </si>
  <si>
    <t>Actualización de la página web, Contestación a Recurso, Recepción de solicitudes de transparencia, Contestación a solicitudes de transparencia, Indizar,  Actualizar página de PNT, Asesoría a compañeros directores, regidores, agentes y delegados, oficios del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</si>
</sst>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"/>
  </numFmts>
  <fonts count="25" x14ac:knownFonts="1">
    <font>
      <sz val="10"/>
      <color theme="1"/>
      <name val="Arial"/>
      <family val="2"/>
      <scheme val="minor"/>
    </font>
    <font>
      <sz val="12"/>
      <color rgb="FF002060"/>
      <name val="Arial"/>
      <family val="2"/>
      <scheme val="minor"/>
    </font>
    <font>
      <sz val="8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name val="Arial"/>
      <family val="2"/>
      <scheme val="minor"/>
    </font>
    <font>
      <sz val="10"/>
      <color indexed="63"/>
      <name val="Arial"/>
      <family val="4"/>
      <scheme val="minor"/>
    </font>
    <font>
      <b/>
      <sz val="28"/>
      <color theme="1" tint="0.34998626667073579"/>
      <name val="Arial"/>
      <family val="2"/>
      <scheme val="minor"/>
    </font>
    <font>
      <sz val="12"/>
      <color theme="4"/>
      <name val="Arial"/>
      <family val="2"/>
      <scheme val="major"/>
    </font>
    <font>
      <sz val="10"/>
      <color theme="1"/>
      <name val="Arial"/>
      <family val="2"/>
      <scheme val="major"/>
    </font>
    <font>
      <b/>
      <sz val="12"/>
      <color theme="4"/>
      <name val="Arial"/>
      <family val="2"/>
      <scheme val="major"/>
    </font>
    <font>
      <b/>
      <sz val="10"/>
      <color theme="1"/>
      <name val="Arial"/>
      <family val="2"/>
      <scheme val="minor"/>
    </font>
    <font>
      <b/>
      <sz val="12"/>
      <color theme="4"/>
      <name val="Arial"/>
      <family val="2"/>
      <scheme val="minor"/>
    </font>
    <font>
      <sz val="10"/>
      <color theme="0"/>
      <name val="Arial"/>
      <family val="2"/>
      <scheme val="minor"/>
    </font>
    <font>
      <b/>
      <sz val="17"/>
      <color theme="4"/>
      <name val="Arial"/>
      <family val="4"/>
      <scheme val="minor"/>
    </font>
    <font>
      <b/>
      <sz val="8.5"/>
      <color theme="1"/>
      <name val="Arial"/>
      <family val="2"/>
      <scheme val="minor"/>
    </font>
    <font>
      <sz val="8.5"/>
      <color theme="1"/>
      <name val="Arial"/>
      <family val="2"/>
      <scheme val="minor"/>
    </font>
    <font>
      <b/>
      <sz val="17"/>
      <color theme="4"/>
      <name val="Arial"/>
      <family val="2"/>
      <scheme val="major"/>
    </font>
    <font>
      <b/>
      <sz val="8.5"/>
      <color theme="1"/>
      <name val="Arial"/>
      <family val="2"/>
      <scheme val="major"/>
    </font>
    <font>
      <sz val="10"/>
      <color theme="1" tint="0.249977111117893"/>
      <name val="Arial"/>
      <family val="2"/>
      <scheme val="minor"/>
    </font>
    <font>
      <sz val="12"/>
      <color theme="1" tint="0.249977111117893"/>
      <name val="Arial"/>
      <family val="2"/>
      <scheme val="minor"/>
    </font>
    <font>
      <sz val="10.5"/>
      <color theme="1" tint="0.249977111117893"/>
      <name val="Arial"/>
      <family val="2"/>
      <scheme val="minor"/>
    </font>
    <font>
      <b/>
      <sz val="10.5"/>
      <name val="Arial"/>
      <family val="2"/>
      <scheme val="minor"/>
    </font>
    <font>
      <b/>
      <sz val="24"/>
      <color theme="4"/>
      <name val="Arial"/>
      <family val="2"/>
      <scheme val="major"/>
    </font>
    <font>
      <b/>
      <sz val="8.5"/>
      <color rgb="FFFF0000"/>
      <name val="Arial"/>
      <family val="2"/>
      <scheme val="minor"/>
    </font>
    <font>
      <sz val="8.5"/>
      <color rgb="FFFF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/>
        <bgColor indexed="64"/>
      </patternFill>
    </fill>
    <fill>
      <patternFill patternType="solid">
        <fgColor theme="0" tint="-4.9989318521683403E-2"/>
        <bgColor indexed="64"/>
      </patternFill>
    </fill>
  </fills>
  <borders count="4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/>
      <right/>
      <top/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5"/>
      </top>
      <bottom style="thin">
        <color theme="4" tint="0.79998168889431442"/>
      </bottom>
      <diagonal/>
    </border>
    <border>
      <left/>
      <right style="thin">
        <color theme="0"/>
      </right>
      <top/>
      <bottom/>
      <diagonal/>
    </border>
    <border>
      <left style="thin">
        <color theme="4" tint="0.79998168889431442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/>
      <diagonal/>
    </border>
    <border>
      <left/>
      <right style="thin">
        <color theme="4" tint="0.7999816888943144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4" tint="0.79998168889431442"/>
      </left>
      <right style="thin">
        <color theme="0"/>
      </right>
      <top/>
      <bottom style="thin">
        <color theme="4" tint="0.79995117038483843"/>
      </bottom>
      <diagonal/>
    </border>
    <border>
      <left style="thin">
        <color theme="0"/>
      </left>
      <right/>
      <top/>
      <bottom style="thin">
        <color theme="4" tint="0.79995117038483843"/>
      </bottom>
      <diagonal/>
    </border>
    <border>
      <left/>
      <right style="thin">
        <color theme="0"/>
      </right>
      <top/>
      <bottom style="thin">
        <color theme="4" tint="0.79995117038483843"/>
      </bottom>
      <diagonal/>
    </border>
    <border>
      <left/>
      <right/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 style="thin">
        <color theme="4" tint="0.79995117038483843"/>
      </bottom>
      <diagonal/>
    </border>
    <border>
      <left/>
      <right style="thin">
        <color theme="4" tint="0.79992065187536243"/>
      </right>
      <top/>
      <bottom/>
      <diagonal/>
    </border>
    <border>
      <left/>
      <right/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98168889431442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5"/>
      </top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4" tint="0.7999816888943144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4" tint="0.79992065187536243"/>
      </right>
      <top/>
      <bottom style="thin">
        <color theme="0"/>
      </bottom>
      <diagonal/>
    </border>
    <border>
      <left/>
      <right style="thin">
        <color theme="4" tint="0.79992065187536243"/>
      </right>
      <top style="thin">
        <color theme="0"/>
      </top>
      <bottom/>
      <diagonal/>
    </border>
    <border>
      <left style="thin">
        <color theme="4" tint="0.79992065187536243"/>
      </left>
      <right/>
      <top/>
      <bottom/>
      <diagonal/>
    </border>
    <border>
      <left style="thin">
        <color theme="4" tint="0.79992065187536243"/>
      </left>
      <right/>
      <top/>
      <bottom style="thin">
        <color theme="4" tint="0.79989013336588644"/>
      </bottom>
      <diagonal/>
    </border>
    <border>
      <left/>
      <right/>
      <top/>
      <bottom style="thin">
        <color theme="4" tint="0.79989013336588644"/>
      </bottom>
      <diagonal/>
    </border>
    <border>
      <left/>
      <right style="thin">
        <color theme="4" tint="0.79989013336588644"/>
      </right>
      <top/>
      <bottom style="thin">
        <color theme="4" tint="0.79989013336588644"/>
      </bottom>
      <diagonal/>
    </border>
    <border>
      <left style="thin">
        <color theme="4" tint="0.79992065187536243"/>
      </left>
      <right/>
      <top style="thin">
        <color theme="4" tint="0.79989013336588644"/>
      </top>
      <bottom/>
      <diagonal/>
    </border>
    <border>
      <left/>
      <right/>
      <top style="thin">
        <color theme="4" tint="0.79989013336588644"/>
      </top>
      <bottom/>
      <diagonal/>
    </border>
    <border>
      <left/>
      <right style="thin">
        <color theme="4" tint="0.79989013336588644"/>
      </right>
      <top style="thin">
        <color theme="4" tint="0.79989013336588644"/>
      </top>
      <bottom/>
      <diagonal/>
    </border>
    <border>
      <left style="thin">
        <color theme="4" tint="0.79992065187536243"/>
      </left>
      <right/>
      <top style="thin">
        <color theme="4" tint="0.79998168889431442"/>
      </top>
      <bottom/>
      <diagonal/>
    </border>
    <border>
      <left/>
      <right/>
      <top style="thin">
        <color theme="4" tint="0.79989013336588644"/>
      </top>
      <bottom style="thin">
        <color theme="5"/>
      </bottom>
      <diagonal/>
    </border>
    <border>
      <left/>
      <right style="thin">
        <color theme="4" tint="0.79995117038483843"/>
      </right>
      <top style="thin">
        <color theme="4" tint="0.79989013336588644"/>
      </top>
      <bottom style="thin">
        <color theme="5"/>
      </bottom>
      <diagonal/>
    </border>
    <border>
      <left style="thin">
        <color theme="4" tint="0.79998168889431442"/>
      </left>
      <right/>
      <top style="thin">
        <color theme="4" tint="0.79995117038483843"/>
      </top>
      <bottom/>
      <diagonal/>
    </border>
    <border>
      <left/>
      <right/>
      <top style="thin">
        <color theme="4" tint="0.79995117038483843"/>
      </top>
      <bottom/>
      <diagonal/>
    </border>
    <border>
      <left/>
      <right style="thin">
        <color theme="4" tint="0.79992065187536243"/>
      </right>
      <top style="thin">
        <color theme="4" tint="0.79995117038483843"/>
      </top>
      <bottom/>
      <diagonal/>
    </border>
    <border>
      <left style="thin">
        <color theme="4" tint="0.79998168889431442"/>
      </left>
      <right/>
      <top/>
      <bottom style="thin">
        <color theme="4" tint="0.79995117038483843"/>
      </bottom>
      <diagonal/>
    </border>
    <border>
      <left/>
      <right style="thin">
        <color theme="4" tint="0.79985961485641044"/>
      </right>
      <top style="thin">
        <color theme="4" tint="0.79985961485641044"/>
      </top>
      <bottom/>
      <diagonal/>
    </border>
    <border>
      <left/>
      <right style="thin">
        <color theme="4" tint="0.79985961485641044"/>
      </right>
      <top/>
      <bottom style="thin">
        <color theme="4" tint="0.79989013336588644"/>
      </bottom>
      <diagonal/>
    </border>
    <border>
      <left style="thin">
        <color theme="4" tint="0.79998168889431442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0" fontId="3" fillId="2" borderId="1" applyNumberFormat="0" applyAlignment="0" applyProtection="0"/>
    <xf numFmtId="0" fontId="5" fillId="3" borderId="0" applyNumberFormat="0" applyBorder="0" applyAlignment="0" applyProtection="0"/>
    <xf numFmtId="0" fontId="6" fillId="0" borderId="0" applyNumberFormat="0" applyFill="0" applyAlignment="0" applyProtection="0"/>
  </cellStyleXfs>
  <cellXfs count="97">
    <xf numFmtId="0" fontId="0" fillId="0" borderId="0" xfId="0"/>
    <xf numFmtId="0" fontId="0" fillId="0" borderId="0" xfId="0" applyFont="1"/>
    <xf numFmtId="0" fontId="8" fillId="0" borderId="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indent="1"/>
    </xf>
    <xf numFmtId="0" fontId="0" fillId="0" borderId="9" xfId="0" applyFont="1" applyBorder="1"/>
    <xf numFmtId="0" fontId="0" fillId="0" borderId="16" xfId="0" applyFont="1" applyBorder="1"/>
    <xf numFmtId="0" fontId="15" fillId="5" borderId="21" xfId="0" applyFont="1" applyFill="1" applyBorder="1" applyAlignment="1">
      <alignment horizontal="left" vertical="top" indent="1"/>
    </xf>
    <xf numFmtId="0" fontId="15" fillId="5" borderId="11" xfId="0" applyFont="1" applyFill="1" applyBorder="1" applyAlignment="1">
      <alignment horizontal="left" vertical="top" indent="1"/>
    </xf>
    <xf numFmtId="49" fontId="14" fillId="5" borderId="8" xfId="0" applyNumberFormat="1" applyFont="1" applyFill="1" applyBorder="1" applyAlignment="1">
      <alignment horizontal="left" indent="1"/>
    </xf>
    <xf numFmtId="49" fontId="14" fillId="5" borderId="24" xfId="0" applyNumberFormat="1" applyFont="1" applyFill="1" applyBorder="1" applyAlignment="1">
      <alignment horizontal="left" indent="1"/>
    </xf>
    <xf numFmtId="164" fontId="20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right" vertical="center" textRotation="90"/>
    </xf>
    <xf numFmtId="0" fontId="10" fillId="0" borderId="0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 textRotation="90"/>
    </xf>
    <xf numFmtId="164" fontId="1" fillId="0" borderId="14" xfId="0" applyNumberFormat="1" applyFont="1" applyFill="1" applyBorder="1" applyAlignment="1">
      <alignment horizontal="right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164" fontId="10" fillId="0" borderId="14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0" borderId="41" xfId="0" applyFont="1" applyBorder="1"/>
    <xf numFmtId="164" fontId="21" fillId="0" borderId="14" xfId="0" applyNumberFormat="1" applyFont="1" applyFill="1" applyBorder="1" applyAlignment="1">
      <alignment horizontal="left" vertical="center" wrapText="1" indent="1"/>
    </xf>
    <xf numFmtId="0" fontId="0" fillId="0" borderId="15" xfId="0" applyFont="1" applyBorder="1"/>
    <xf numFmtId="0" fontId="0" fillId="0" borderId="43" xfId="0" applyFont="1" applyBorder="1"/>
    <xf numFmtId="0" fontId="0" fillId="0" borderId="44" xfId="0" applyFont="1" applyBorder="1"/>
    <xf numFmtId="0" fontId="18" fillId="0" borderId="3" xfId="0" applyFont="1" applyBorder="1" applyAlignment="1">
      <alignment wrapText="1"/>
    </xf>
    <xf numFmtId="0" fontId="18" fillId="0" borderId="18" xfId="0" applyFont="1" applyBorder="1" applyAlignment="1">
      <alignment wrapText="1"/>
    </xf>
    <xf numFmtId="0" fontId="0" fillId="0" borderId="0" xfId="0" applyFont="1" applyAlignment="1">
      <alignment wrapText="1"/>
    </xf>
    <xf numFmtId="0" fontId="10" fillId="0" borderId="3" xfId="0" applyFont="1" applyBorder="1" applyAlignment="1">
      <alignment horizontal="center" vertical="center"/>
    </xf>
    <xf numFmtId="0" fontId="18" fillId="0" borderId="5" xfId="0" applyFont="1" applyBorder="1" applyAlignment="1">
      <alignment horizontal="left"/>
    </xf>
    <xf numFmtId="0" fontId="18" fillId="0" borderId="20" xfId="0" applyFont="1" applyBorder="1" applyAlignment="1">
      <alignment horizontal="left"/>
    </xf>
    <xf numFmtId="0" fontId="18" fillId="0" borderId="17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3" xfId="0" applyFont="1" applyBorder="1" applyAlignment="1">
      <alignment horizontal="left" wrapText="1"/>
    </xf>
    <xf numFmtId="0" fontId="18" fillId="0" borderId="18" xfId="0" applyFont="1" applyBorder="1" applyAlignment="1">
      <alignment horizontal="left" wrapText="1"/>
    </xf>
    <xf numFmtId="0" fontId="18" fillId="0" borderId="3" xfId="0" applyFont="1" applyBorder="1" applyAlignment="1">
      <alignment horizontal="left"/>
    </xf>
    <xf numFmtId="0" fontId="18" fillId="0" borderId="18" xfId="0" applyFont="1" applyBorder="1" applyAlignment="1">
      <alignment horizontal="left"/>
    </xf>
    <xf numFmtId="0" fontId="22" fillId="0" borderId="39" xfId="0" applyFont="1" applyFill="1" applyBorder="1" applyAlignment="1">
      <alignment horizontal="center" vertical="center" textRotation="90"/>
    </xf>
    <xf numFmtId="0" fontId="22" fillId="0" borderId="7" xfId="0" applyFont="1" applyFill="1" applyBorder="1" applyAlignment="1">
      <alignment horizontal="center" vertical="center" textRotation="90"/>
    </xf>
    <xf numFmtId="0" fontId="22" fillId="0" borderId="42" xfId="0" applyFont="1" applyFill="1" applyBorder="1" applyAlignment="1">
      <alignment horizontal="center" vertical="center" textRotation="90"/>
    </xf>
    <xf numFmtId="0" fontId="11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49" fontId="14" fillId="5" borderId="10" xfId="0" applyNumberFormat="1" applyFont="1" applyFill="1" applyBorder="1" applyAlignment="1">
      <alignment horizontal="left" indent="1"/>
    </xf>
    <xf numFmtId="49" fontId="14" fillId="5" borderId="16" xfId="0" applyNumberFormat="1" applyFont="1" applyFill="1" applyBorder="1" applyAlignment="1">
      <alignment horizontal="left" indent="1"/>
    </xf>
    <xf numFmtId="0" fontId="17" fillId="5" borderId="22" xfId="0" applyFont="1" applyFill="1" applyBorder="1" applyAlignment="1">
      <alignment horizontal="left" vertical="top" indent="1"/>
    </xf>
    <xf numFmtId="0" fontId="17" fillId="5" borderId="27" xfId="0" applyFont="1" applyFill="1" applyBorder="1" applyAlignment="1">
      <alignment horizontal="left" vertical="top" indent="1"/>
    </xf>
    <xf numFmtId="49" fontId="14" fillId="5" borderId="6" xfId="0" applyNumberFormat="1" applyFont="1" applyFill="1" applyBorder="1" applyAlignment="1">
      <alignment horizontal="left" indent="1"/>
    </xf>
    <xf numFmtId="0" fontId="15" fillId="5" borderId="22" xfId="0" applyFont="1" applyFill="1" applyBorder="1" applyAlignment="1">
      <alignment horizontal="left" vertical="top" indent="1"/>
    </xf>
    <xf numFmtId="0" fontId="15" fillId="5" borderId="23" xfId="0" applyFont="1" applyFill="1" applyBorder="1" applyAlignment="1">
      <alignment horizontal="left" vertical="top" indent="1"/>
    </xf>
    <xf numFmtId="164" fontId="15" fillId="5" borderId="22" xfId="0" applyNumberFormat="1" applyFont="1" applyFill="1" applyBorder="1" applyAlignment="1">
      <alignment horizontal="left" vertical="top" indent="1"/>
    </xf>
    <xf numFmtId="164" fontId="15" fillId="5" borderId="27" xfId="0" applyNumberFormat="1" applyFont="1" applyFill="1" applyBorder="1" applyAlignment="1">
      <alignment horizontal="left" vertical="top" indent="1"/>
    </xf>
    <xf numFmtId="49" fontId="14" fillId="5" borderId="10" xfId="0" applyNumberFormat="1" applyFont="1" applyFill="1" applyBorder="1" applyAlignment="1">
      <alignment horizontal="left" vertical="center" indent="1"/>
    </xf>
    <xf numFmtId="49" fontId="14" fillId="5" borderId="16" xfId="0" applyNumberFormat="1" applyFont="1" applyFill="1" applyBorder="1" applyAlignment="1">
      <alignment horizontal="left" vertical="center" indent="1"/>
    </xf>
    <xf numFmtId="49" fontId="14" fillId="5" borderId="25" xfId="0" applyNumberFormat="1" applyFont="1" applyFill="1" applyBorder="1" applyAlignment="1">
      <alignment horizontal="left" indent="1"/>
    </xf>
    <xf numFmtId="49" fontId="14" fillId="5" borderId="26" xfId="0" applyNumberFormat="1" applyFont="1" applyFill="1" applyBorder="1" applyAlignment="1">
      <alignment horizontal="left" indent="1"/>
    </xf>
    <xf numFmtId="0" fontId="15" fillId="5" borderId="12" xfId="0" applyFont="1" applyFill="1" applyBorder="1" applyAlignment="1">
      <alignment horizontal="left" vertical="top" indent="1"/>
    </xf>
    <xf numFmtId="0" fontId="15" fillId="5" borderId="13" xfId="0" applyFont="1" applyFill="1" applyBorder="1" applyAlignment="1">
      <alignment horizontal="left" vertical="top" indent="1"/>
    </xf>
    <xf numFmtId="49" fontId="23" fillId="5" borderId="45" xfId="0" applyNumberFormat="1" applyFont="1" applyFill="1" applyBorder="1" applyAlignment="1">
      <alignment horizontal="center" vertical="top" wrapText="1"/>
    </xf>
    <xf numFmtId="49" fontId="23" fillId="5" borderId="46" xfId="0" applyNumberFormat="1" applyFont="1" applyFill="1" applyBorder="1" applyAlignment="1">
      <alignment horizontal="center" vertical="top" wrapText="1"/>
    </xf>
    <xf numFmtId="49" fontId="23" fillId="5" borderId="28" xfId="0" applyNumberFormat="1" applyFont="1" applyFill="1" applyBorder="1" applyAlignment="1">
      <alignment horizontal="center" vertical="top" wrapText="1"/>
    </xf>
    <xf numFmtId="49" fontId="23" fillId="5" borderId="7" xfId="0" applyNumberFormat="1" applyFont="1" applyFill="1" applyBorder="1" applyAlignment="1">
      <alignment horizontal="center" vertical="top" wrapText="1"/>
    </xf>
    <xf numFmtId="49" fontId="23" fillId="5" borderId="0" xfId="0" applyNumberFormat="1" applyFont="1" applyFill="1" applyBorder="1" applyAlignment="1">
      <alignment horizontal="center" vertical="top" wrapText="1"/>
    </xf>
    <xf numFmtId="49" fontId="23" fillId="5" borderId="16" xfId="0" applyNumberFormat="1" applyFont="1" applyFill="1" applyBorder="1" applyAlignment="1">
      <alignment horizontal="center" vertical="top" wrapText="1"/>
    </xf>
    <xf numFmtId="164" fontId="15" fillId="5" borderId="12" xfId="0" applyNumberFormat="1" applyFont="1" applyFill="1" applyBorder="1" applyAlignment="1">
      <alignment horizontal="left" vertical="top" indent="1"/>
    </xf>
    <xf numFmtId="164" fontId="15" fillId="5" borderId="15" xfId="0" applyNumberFormat="1" applyFont="1" applyFill="1" applyBorder="1" applyAlignment="1">
      <alignment horizontal="left" vertical="top" indent="1"/>
    </xf>
    <xf numFmtId="0" fontId="15" fillId="5" borderId="27" xfId="0" applyFont="1" applyFill="1" applyBorder="1" applyAlignment="1">
      <alignment horizontal="left" vertical="top" indent="1"/>
    </xf>
    <xf numFmtId="0" fontId="9" fillId="0" borderId="36" xfId="0" applyFont="1" applyBorder="1" applyAlignment="1">
      <alignment horizontal="right" vertical="center" textRotation="90"/>
    </xf>
    <xf numFmtId="0" fontId="9" fillId="0" borderId="29" xfId="0" applyFont="1" applyBorder="1" applyAlignment="1">
      <alignment horizontal="right" vertical="center" textRotation="90"/>
    </xf>
    <xf numFmtId="0" fontId="12" fillId="4" borderId="10" xfId="0" applyFont="1" applyFill="1" applyBorder="1" applyAlignment="1">
      <alignment horizontal="left" indent="1"/>
    </xf>
    <xf numFmtId="0" fontId="12" fillId="4" borderId="16" xfId="0" applyFont="1" applyFill="1" applyBorder="1" applyAlignment="1">
      <alignment horizontal="left" indent="1"/>
    </xf>
    <xf numFmtId="0" fontId="12" fillId="4" borderId="6" xfId="0" applyFont="1" applyFill="1" applyBorder="1" applyAlignment="1">
      <alignment horizontal="left" indent="1"/>
    </xf>
    <xf numFmtId="49" fontId="14" fillId="5" borderId="28" xfId="0" applyNumberFormat="1" applyFont="1" applyFill="1" applyBorder="1" applyAlignment="1">
      <alignment horizontal="left" indent="1"/>
    </xf>
    <xf numFmtId="164" fontId="19" fillId="0" borderId="5" xfId="0" applyNumberFormat="1" applyFont="1" applyFill="1" applyBorder="1" applyAlignment="1">
      <alignment horizontal="left"/>
    </xf>
    <xf numFmtId="164" fontId="19" fillId="0" borderId="20" xfId="0" applyNumberFormat="1" applyFont="1" applyFill="1" applyBorder="1" applyAlignment="1">
      <alignment horizontal="left"/>
    </xf>
    <xf numFmtId="0" fontId="16" fillId="0" borderId="33" xfId="0" applyFont="1" applyBorder="1" applyAlignment="1">
      <alignment horizontal="left" vertical="center" indent="2"/>
    </xf>
    <xf numFmtId="0" fontId="16" fillId="0" borderId="34" xfId="0" applyFont="1" applyBorder="1" applyAlignment="1">
      <alignment horizontal="left" vertical="center" indent="2"/>
    </xf>
    <xf numFmtId="0" fontId="16" fillId="0" borderId="30" xfId="0" applyFont="1" applyBorder="1" applyAlignment="1">
      <alignment horizontal="left" vertical="center" indent="2"/>
    </xf>
    <xf numFmtId="0" fontId="16" fillId="0" borderId="31" xfId="0" applyFont="1" applyBorder="1" applyAlignment="1">
      <alignment horizontal="left" vertical="center" indent="2"/>
    </xf>
    <xf numFmtId="0" fontId="9" fillId="0" borderId="33" xfId="0" applyFont="1" applyBorder="1" applyAlignment="1">
      <alignment horizontal="right" vertical="center" textRotation="90"/>
    </xf>
    <xf numFmtId="0" fontId="18" fillId="0" borderId="37" xfId="0" applyFont="1" applyBorder="1" applyAlignment="1">
      <alignment horizontal="left"/>
    </xf>
    <xf numFmtId="0" fontId="18" fillId="0" borderId="38" xfId="0" applyFont="1" applyBorder="1" applyAlignment="1">
      <alignment horizontal="left"/>
    </xf>
    <xf numFmtId="0" fontId="13" fillId="0" borderId="35" xfId="0" applyFont="1" applyFill="1" applyBorder="1" applyAlignment="1">
      <alignment vertical="center"/>
    </xf>
    <xf numFmtId="0" fontId="13" fillId="0" borderId="32" xfId="0" applyFont="1" applyFill="1" applyBorder="1" applyAlignment="1">
      <alignment vertical="center"/>
    </xf>
    <xf numFmtId="0" fontId="9" fillId="0" borderId="36" xfId="0" applyFont="1" applyBorder="1" applyAlignment="1">
      <alignment vertical="center" textRotation="90"/>
    </xf>
    <xf numFmtId="0" fontId="9" fillId="0" borderId="29" xfId="0" applyFont="1" applyBorder="1" applyAlignment="1">
      <alignment vertical="center" textRotation="90"/>
    </xf>
    <xf numFmtId="0" fontId="18" fillId="0" borderId="3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24" fillId="5" borderId="42" xfId="0" applyFont="1" applyFill="1" applyBorder="1" applyAlignment="1">
      <alignment horizontal="center" vertical="top"/>
    </xf>
    <xf numFmtId="0" fontId="24" fillId="5" borderId="14" xfId="0" applyFont="1" applyFill="1" applyBorder="1" applyAlignment="1">
      <alignment horizontal="center" vertical="top"/>
    </xf>
    <xf numFmtId="0" fontId="24" fillId="5" borderId="15" xfId="0" applyFont="1" applyFill="1" applyBorder="1" applyAlignment="1">
      <alignment horizontal="center" vertical="top"/>
    </xf>
    <xf numFmtId="0" fontId="18" fillId="0" borderId="5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</cellXfs>
  <cellStyles count="5">
    <cellStyle name="40% - Accent1 2" xfId="3"/>
    <cellStyle name="Accent1 2" xfId="2"/>
    <cellStyle name="Heading 1 2" xfId="4"/>
    <cellStyle name="Normal" xfId="0" builtinId="0" customBuiltin="1"/>
    <cellStyle name="Normal 2" xfId="1"/>
  </cellStyles>
  <dxfs count="71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  <color theme="1"/>
      </font>
      <fill>
        <patternFill patternType="solid">
          <bgColor theme="4" tint="0.79998168889431442"/>
        </patternFill>
      </fill>
      <border>
        <left/>
        <right/>
        <top/>
        <bottom/>
        <vertical/>
        <horizontal/>
      </border>
    </dxf>
    <dxf>
      <font>
        <color theme="0" tint="-0.24994659260841701"/>
      </font>
    </dxf>
    <dxf>
      <font>
        <color theme="0" tint="-0.24994659260841701"/>
      </font>
    </dxf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70"/>
      <tableStyleElement type="headerRow" dxfId="69"/>
      <tableStyleElement type="totalRow" dxfId="68"/>
      <tableStyleElement type="firstColumn" dxfId="67"/>
      <tableStyleElement type="lastColumn" dxfId="66"/>
      <tableStyleElement type="firstRowStripe" dxfId="65"/>
      <tableStyleElement type="firstColumnStripe" dxfId="64"/>
    </tableStyle>
    <tableStyle name="TableStyleLight9 2" pivot="0" count="4">
      <tableStyleElement type="wholeTable" dxfId="63"/>
      <tableStyleElement type="headerRow" dxfId="62"/>
      <tableStyleElement type="totalRow" dxfId="61"/>
      <tableStyleElement type="firstColumn" dxfId="6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$N$2" max="2999" min="1900" page="10" val="202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1</xdr:row>
          <xdr:rowOff>85725</xdr:rowOff>
        </xdr:from>
        <xdr:to>
          <xdr:col>15</xdr:col>
          <xdr:colOff>0</xdr:colOff>
          <xdr:row>2</xdr:row>
          <xdr:rowOff>161925</xdr:rowOff>
        </xdr:to>
        <xdr:sp macro="" textlink="">
          <xdr:nvSpPr>
            <xdr:cNvPr id="1025" name="Spinner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10_college_cal">
  <a:themeElements>
    <a:clrScheme name="Assignment Calenda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9B5D4"/>
      </a:accent1>
      <a:accent2>
        <a:srgbClr val="FFCCCC"/>
      </a:accent2>
      <a:accent3>
        <a:srgbClr val="4DBB68"/>
      </a:accent3>
      <a:accent4>
        <a:srgbClr val="FFFB59"/>
      </a:accent4>
      <a:accent5>
        <a:srgbClr val="FF9900"/>
      </a:accent5>
      <a:accent6>
        <a:srgbClr val="AC75D5"/>
      </a:accent6>
      <a:hlink>
        <a:srgbClr val="57B5D4"/>
      </a:hlink>
      <a:folHlink>
        <a:srgbClr val="BA4F8B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Q27" sqref="Q27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3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84">
        <v>2020</v>
      </c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85"/>
    </row>
    <row r="4" spans="1:14" ht="18" customHeight="1" x14ac:dyDescent="0.2">
      <c r="A4" s="4"/>
      <c r="B4" s="40"/>
      <c r="C4" s="10">
        <f>IF(DAY(JanSun1)=1,JanSun1-6,JanSun1+1)</f>
        <v>43829</v>
      </c>
      <c r="D4" s="10">
        <f>IF(DAY(JanSun1)=1,JanSun1-5,JanSun1+2)</f>
        <v>43830</v>
      </c>
      <c r="E4" s="10">
        <f>IF(DAY(JanSun1)=1,JanSun1-4,JanSun1+3)</f>
        <v>43831</v>
      </c>
      <c r="F4" s="10">
        <f>IF(DAY(JanSun1)=1,JanSun1-3,JanSun1+4)</f>
        <v>43832</v>
      </c>
      <c r="G4" s="10">
        <f>IF(DAY(JanSun1)=1,JanSun1-2,JanSun1+5)</f>
        <v>43833</v>
      </c>
      <c r="H4" s="10">
        <f>IF(DAY(JanSun1)=1,JanSun1-1,JanSun1+6)</f>
        <v>43834</v>
      </c>
      <c r="I4" s="10">
        <f>IF(DAY(JanSun1)=1,JanSun1,JanSun1+7)</f>
        <v>43835</v>
      </c>
      <c r="J4" s="5"/>
      <c r="K4" s="81" t="s">
        <v>11</v>
      </c>
      <c r="L4" s="16"/>
      <c r="M4" s="82"/>
      <c r="N4" s="83"/>
    </row>
    <row r="5" spans="1:14" ht="50.25" customHeight="1" x14ac:dyDescent="0.2">
      <c r="A5" s="4"/>
      <c r="B5" s="40"/>
      <c r="C5" s="10">
        <f>IF(DAY(JanSun1)=1,JanSun1+1,JanSun1+8)</f>
        <v>43836</v>
      </c>
      <c r="D5" s="10">
        <f>IF(DAY(JanSun1)=1,JanSun1+2,JanSun1+9)</f>
        <v>43837</v>
      </c>
      <c r="E5" s="10">
        <f>IF(DAY(JanSun1)=1,JanSun1+3,JanSun1+10)</f>
        <v>43838</v>
      </c>
      <c r="F5" s="10">
        <f>IF(DAY(JanSun1)=1,JanSun1+4,JanSun1+11)</f>
        <v>43839</v>
      </c>
      <c r="G5" s="10">
        <f>IF(DAY(JanSun1)=1,JanSun1+5,JanSun1+12)</f>
        <v>43840</v>
      </c>
      <c r="H5" s="10">
        <f>IF(DAY(JanSun1)=1,JanSun1+6,JanSun1+13)</f>
        <v>43841</v>
      </c>
      <c r="I5" s="10">
        <f>IF(DAY(JanSun1)=1,JanSun1+7,JanSun1+14)</f>
        <v>43842</v>
      </c>
      <c r="J5" s="5"/>
      <c r="K5" s="70"/>
      <c r="L5" s="17">
        <v>13</v>
      </c>
      <c r="M5" s="35" t="s">
        <v>30</v>
      </c>
      <c r="N5" s="36"/>
    </row>
    <row r="6" spans="1:14" ht="42.75" customHeight="1" x14ac:dyDescent="0.2">
      <c r="A6" s="4"/>
      <c r="B6" s="40"/>
      <c r="C6" s="10">
        <f>IF(DAY(JanSun1)=1,JanSun1+8,JanSun1+15)</f>
        <v>43843</v>
      </c>
      <c r="D6" s="10">
        <f>IF(DAY(JanSun1)=1,JanSun1+9,JanSun1+16)</f>
        <v>43844</v>
      </c>
      <c r="E6" s="10">
        <f>IF(DAY(JanSun1)=1,JanSun1+10,JanSun1+17)</f>
        <v>43845</v>
      </c>
      <c r="F6" s="10">
        <f>IF(DAY(JanSun1)=1,JanSun1+11,JanSun1+18)</f>
        <v>43846</v>
      </c>
      <c r="G6" s="10">
        <f>IF(DAY(JanSun1)=1,JanSun1+12,JanSun1+19)</f>
        <v>43847</v>
      </c>
      <c r="H6" s="10">
        <f>IF(DAY(JanSun1)=1,JanSun1+13,JanSun1+20)</f>
        <v>43848</v>
      </c>
      <c r="I6" s="10">
        <f>IF(DAY(JanSun1)=1,JanSun1+14,JanSun1+21)</f>
        <v>43849</v>
      </c>
      <c r="J6" s="5"/>
      <c r="K6" s="70"/>
      <c r="L6" s="17">
        <v>20</v>
      </c>
      <c r="M6" s="35" t="s">
        <v>33</v>
      </c>
      <c r="N6" s="36"/>
    </row>
    <row r="7" spans="1:14" ht="18" customHeight="1" x14ac:dyDescent="0.2">
      <c r="A7" s="4"/>
      <c r="B7" s="40"/>
      <c r="C7" s="10">
        <f>IF(DAY(JanSun1)=1,JanSun1+15,JanSun1+22)</f>
        <v>43850</v>
      </c>
      <c r="D7" s="10">
        <f>IF(DAY(JanSun1)=1,JanSun1+16,JanSun1+23)</f>
        <v>43851</v>
      </c>
      <c r="E7" s="10">
        <f>IF(DAY(JanSun1)=1,JanSun1+17,JanSun1+24)</f>
        <v>43852</v>
      </c>
      <c r="F7" s="10">
        <f>IF(DAY(JanSun1)=1,JanSun1+18,JanSun1+25)</f>
        <v>43853</v>
      </c>
      <c r="G7" s="10">
        <f>IF(DAY(JanSun1)=1,JanSun1+19,JanSun1+26)</f>
        <v>43854</v>
      </c>
      <c r="H7" s="10">
        <f>IF(DAY(JanSun1)=1,JanSun1+20,JanSun1+27)</f>
        <v>43855</v>
      </c>
      <c r="I7" s="10">
        <f>IF(DAY(JanSun1)=1,JanSun1+21,JanSun1+28)</f>
        <v>43856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IF(DAY(JanSun1)=1,JanSun1+22,JanSun1+29)</f>
        <v>43857</v>
      </c>
      <c r="D8" s="10">
        <f>IF(DAY(JanSun1)=1,JanSun1+23,JanSun1+30)</f>
        <v>43858</v>
      </c>
      <c r="E8" s="10">
        <f>IF(DAY(JanSun1)=1,JanSun1+24,JanSun1+31)</f>
        <v>43859</v>
      </c>
      <c r="F8" s="10">
        <f>IF(DAY(JanSun1)=1,JanSun1+25,JanSun1+32)</f>
        <v>43860</v>
      </c>
      <c r="G8" s="10">
        <f>IF(DAY(JanSun1)=1,JanSun1+26,JanSun1+33)</f>
        <v>43861</v>
      </c>
      <c r="H8" s="10">
        <f>IF(DAY(JanSun1)=1,JanSun1+27,JanSun1+34)</f>
        <v>43862</v>
      </c>
      <c r="I8" s="10">
        <f>IF(DAY(JanSun1)=1,JanSun1+28,JanSun1+35)</f>
        <v>43863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IF(DAY(JanSun1)=1,JanSun1+29,JanSun1+36)</f>
        <v>43864</v>
      </c>
      <c r="D9" s="10">
        <f>IF(DAY(JanSun1)=1,JanSun1+30,JanSun1+37)</f>
        <v>43865</v>
      </c>
      <c r="E9" s="10">
        <f>IF(DAY(JanSun1)=1,JanSun1+31,JanSun1+38)</f>
        <v>43866</v>
      </c>
      <c r="F9" s="10">
        <f>IF(DAY(JanSun1)=1,JanSun1+32,JanSun1+39)</f>
        <v>43867</v>
      </c>
      <c r="G9" s="10">
        <f>IF(DAY(JanSun1)=1,JanSun1+33,JanSun1+40)</f>
        <v>43868</v>
      </c>
      <c r="H9" s="10">
        <f>IF(DAY(JanSun1)=1,JanSun1+34,JanSun1+41)</f>
        <v>43869</v>
      </c>
      <c r="I9" s="10">
        <f>IF(DAY(JanSun1)=1,JanSun1+35,JanSun1+42)</f>
        <v>43870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51.75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>
        <v>14</v>
      </c>
      <c r="M11" s="35" t="s">
        <v>31</v>
      </c>
      <c r="N11" s="36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>
        <v>21</v>
      </c>
      <c r="M12" s="37" t="s">
        <v>34</v>
      </c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>
        <v>15</v>
      </c>
      <c r="M17" s="37" t="s">
        <v>29</v>
      </c>
      <c r="N17" s="38"/>
    </row>
    <row r="18" spans="2:14" ht="30.75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>
        <v>22</v>
      </c>
      <c r="M18" s="35" t="s">
        <v>37</v>
      </c>
      <c r="N18" s="36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>
        <v>9</v>
      </c>
      <c r="M23" s="37" t="s">
        <v>29</v>
      </c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>
        <v>23</v>
      </c>
      <c r="M24" s="37" t="s">
        <v>36</v>
      </c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61.5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>
        <v>17</v>
      </c>
      <c r="M29" s="35" t="s">
        <v>32</v>
      </c>
      <c r="N29" s="36"/>
    </row>
    <row r="30" spans="2:14" ht="36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>
        <v>24</v>
      </c>
      <c r="M30" s="35" t="s">
        <v>35</v>
      </c>
      <c r="N30" s="36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2">
    <mergeCell ref="M14:N14"/>
    <mergeCell ref="M15:N15"/>
    <mergeCell ref="M16:N16"/>
    <mergeCell ref="M17:N17"/>
    <mergeCell ref="M18:N18"/>
    <mergeCell ref="M19:N19"/>
    <mergeCell ref="M20:N20"/>
    <mergeCell ref="C19:D19"/>
    <mergeCell ref="C20:D20"/>
    <mergeCell ref="C22:D22"/>
    <mergeCell ref="C23:D23"/>
    <mergeCell ref="C14:D14"/>
    <mergeCell ref="C15:D15"/>
    <mergeCell ref="K16:K18"/>
    <mergeCell ref="K22:K25"/>
    <mergeCell ref="E13:F13"/>
    <mergeCell ref="C13:D13"/>
    <mergeCell ref="E17:F17"/>
    <mergeCell ref="E16:F16"/>
    <mergeCell ref="E15:F15"/>
    <mergeCell ref="E14:F14"/>
    <mergeCell ref="E23:F23"/>
    <mergeCell ref="E22:F22"/>
    <mergeCell ref="E21:F21"/>
    <mergeCell ref="E20:F20"/>
    <mergeCell ref="E19:F19"/>
    <mergeCell ref="K2:M3"/>
    <mergeCell ref="K10:K12"/>
    <mergeCell ref="K4:K6"/>
    <mergeCell ref="M4:N4"/>
    <mergeCell ref="M5:N5"/>
    <mergeCell ref="M6:N6"/>
    <mergeCell ref="M7:N7"/>
    <mergeCell ref="M8:N8"/>
    <mergeCell ref="M9:N9"/>
    <mergeCell ref="M10:N10"/>
    <mergeCell ref="M11:N11"/>
    <mergeCell ref="N2:N3"/>
    <mergeCell ref="M12:N12"/>
    <mergeCell ref="M13:N13"/>
    <mergeCell ref="G28:H28"/>
    <mergeCell ref="G29:H29"/>
    <mergeCell ref="G33:H33"/>
    <mergeCell ref="I33:J33"/>
    <mergeCell ref="I28:J28"/>
    <mergeCell ref="I29:J29"/>
    <mergeCell ref="K28:K30"/>
    <mergeCell ref="I13:J13"/>
    <mergeCell ref="G13:H13"/>
    <mergeCell ref="I19:J19"/>
    <mergeCell ref="I17:J17"/>
    <mergeCell ref="G18:H18"/>
    <mergeCell ref="I18:J18"/>
    <mergeCell ref="G19:H19"/>
    <mergeCell ref="I22:J22"/>
    <mergeCell ref="I23:J23"/>
    <mergeCell ref="G22:H22"/>
    <mergeCell ref="G23:H23"/>
    <mergeCell ref="G17:H17"/>
    <mergeCell ref="M31:N31"/>
    <mergeCell ref="M32:N32"/>
    <mergeCell ref="M33:N33"/>
    <mergeCell ref="M26:N26"/>
    <mergeCell ref="C29:D29"/>
    <mergeCell ref="C33:D33"/>
    <mergeCell ref="C24:D24"/>
    <mergeCell ref="C25:D25"/>
    <mergeCell ref="C26:D26"/>
    <mergeCell ref="C27:D27"/>
    <mergeCell ref="C28:D28"/>
    <mergeCell ref="B30:J32"/>
    <mergeCell ref="E28:F28"/>
    <mergeCell ref="E27:F27"/>
    <mergeCell ref="E26:F26"/>
    <mergeCell ref="E25:F25"/>
    <mergeCell ref="E24:F24"/>
    <mergeCell ref="E33:F33"/>
    <mergeCell ref="E29:F29"/>
    <mergeCell ref="G24:H24"/>
    <mergeCell ref="I24:J24"/>
    <mergeCell ref="G25:H25"/>
    <mergeCell ref="G26:H26"/>
    <mergeCell ref="G27:H27"/>
    <mergeCell ref="I25:J25"/>
    <mergeCell ref="I26:J26"/>
    <mergeCell ref="I27:J27"/>
    <mergeCell ref="B2:B10"/>
    <mergeCell ref="B11:J12"/>
    <mergeCell ref="I20:J20"/>
    <mergeCell ref="I21:J21"/>
    <mergeCell ref="G14:H14"/>
    <mergeCell ref="I14:J14"/>
    <mergeCell ref="G15:H15"/>
    <mergeCell ref="I15:J15"/>
    <mergeCell ref="G16:H16"/>
    <mergeCell ref="I16:J16"/>
    <mergeCell ref="G20:H20"/>
    <mergeCell ref="G21:H21"/>
    <mergeCell ref="C16:D16"/>
    <mergeCell ref="C17:D17"/>
    <mergeCell ref="C18:D18"/>
    <mergeCell ref="E18:F18"/>
    <mergeCell ref="C21:D21"/>
    <mergeCell ref="M27:N27"/>
    <mergeCell ref="M28:N28"/>
    <mergeCell ref="M29:N29"/>
    <mergeCell ref="M30:N30"/>
    <mergeCell ref="M21:N21"/>
    <mergeCell ref="M22:N22"/>
    <mergeCell ref="M23:N23"/>
    <mergeCell ref="M24:N24"/>
    <mergeCell ref="M25:N25"/>
  </mergeCells>
  <phoneticPr fontId="2" type="noConversion"/>
  <conditionalFormatting sqref="C4:H4">
    <cfRule type="expression" dxfId="59" priority="5" stopIfTrue="1">
      <formula>DAY(C4)&gt;8</formula>
    </cfRule>
  </conditionalFormatting>
  <conditionalFormatting sqref="C8:I10">
    <cfRule type="expression" dxfId="58" priority="4" stopIfTrue="1">
      <formula>AND(DAY(C8)&gt;=1,DAY(C8)&lt;=15)</formula>
    </cfRule>
  </conditionalFormatting>
  <conditionalFormatting sqref="C4:I9">
    <cfRule type="expression" dxfId="57" priority="16">
      <formula>VLOOKUP(DAY(C4),DíasDeTareas,1,FALSE)=DAY(C4)</formula>
    </cfRule>
  </conditionalFormatting>
  <conditionalFormatting sqref="B14:J29 B33:J33">
    <cfRule type="expression" dxfId="56" priority="2">
      <formula>B14&lt;&gt;""</formula>
    </cfRule>
  </conditionalFormatting>
  <conditionalFormatting sqref="B30">
    <cfRule type="expression" dxfId="55" priority="1">
      <formula>B30&lt;&gt;""</formula>
    </cfRule>
  </conditionalFormatting>
  <dataValidations count="1">
    <dataValidation allowBlank="1" showInputMessage="1" showErrorMessage="1" errorTitle="Invalid Year" error="Enter a year from 1900 to 9999, or use the scroll bar to find a year." sqref="N2"/>
  </dataValidations>
  <printOptions horizontalCentered="1"/>
  <pageMargins left="0.5" right="0.5" top="0.5" bottom="0.5" header="0.3" footer="0.3"/>
  <pageSetup scale="53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Spinner 1">
              <controlPr defaultSize="0" print="0" autoPict="0" altText="Spinner control. Use spinner to change calendar year or type desired year in cell L2 ">
                <anchor moveWithCells="1">
                  <from>
                    <xdr:col>14</xdr:col>
                    <xdr:colOff>28575</xdr:colOff>
                    <xdr:row>1</xdr:row>
                    <xdr:rowOff>85725</xdr:rowOff>
                  </from>
                  <to>
                    <xdr:col>15</xdr:col>
                    <xdr:colOff>0</xdr:colOff>
                    <xdr:row>2</xdr:row>
                    <xdr:rowOff>161925</xdr:rowOff>
                  </to>
                </anchor>
              </controlPr>
            </control>
          </mc:Choice>
        </mc:AlternateContent>
      </controls>
    </mc:Choice>
  </mc:AlternateContent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P22" sqref="P21:P2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17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IF(DAY(OctDom1)=1,OctDom1-6,OctDom1+1)</f>
        <v>44102</v>
      </c>
      <c r="D4" s="10">
        <f>IF(DAY(OctDom1)=1,OctDom1-5,OctDom1+2)</f>
        <v>44103</v>
      </c>
      <c r="E4" s="10">
        <f>IF(DAY(OctDom1)=1,OctDom1-4,OctDom1+3)</f>
        <v>44104</v>
      </c>
      <c r="F4" s="10">
        <f>IF(DAY(OctDom1)=1,OctDom1-3,OctDom1+4)</f>
        <v>44105</v>
      </c>
      <c r="G4" s="10">
        <f>IF(DAY(OctDom1)=1,OctDom1-2,OctDom1+5)</f>
        <v>44106</v>
      </c>
      <c r="H4" s="10">
        <f>IF(DAY(OctDom1)=1,OctDom1-1,OctDom1+6)</f>
        <v>44107</v>
      </c>
      <c r="I4" s="10">
        <f>IF(DAY(OctDom1)=1,OctDom1,OctDom1+7)</f>
        <v>44108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IF(DAY(OctDom1)=1,OctDom1+1,OctDom1+8)</f>
        <v>44109</v>
      </c>
      <c r="D5" s="10">
        <f>IF(DAY(OctDom1)=1,OctDom1+2,OctDom1+9)</f>
        <v>44110</v>
      </c>
      <c r="E5" s="10">
        <f>IF(DAY(OctDom1)=1,OctDom1+3,OctDom1+10)</f>
        <v>44111</v>
      </c>
      <c r="F5" s="10">
        <f>IF(DAY(OctDom1)=1,OctDom1+4,OctDom1+11)</f>
        <v>44112</v>
      </c>
      <c r="G5" s="10">
        <f>IF(DAY(OctDom1)=1,OctDom1+5,OctDom1+12)</f>
        <v>44113</v>
      </c>
      <c r="H5" s="10">
        <f>IF(DAY(OctDom1)=1,OctDom1+6,OctDom1+13)</f>
        <v>44114</v>
      </c>
      <c r="I5" s="10">
        <f>IF(DAY(OctDom1)=1,OctDom1+7,OctDom1+14)</f>
        <v>44115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IF(DAY(OctDom1)=1,OctDom1+8,OctDom1+15)</f>
        <v>44116</v>
      </c>
      <c r="D6" s="10">
        <f>IF(DAY(OctDom1)=1,OctDom1+9,OctDom1+16)</f>
        <v>44117</v>
      </c>
      <c r="E6" s="10">
        <f>IF(DAY(OctDom1)=1,OctDom1+10,OctDom1+17)</f>
        <v>44118</v>
      </c>
      <c r="F6" s="10">
        <f>IF(DAY(OctDom1)=1,OctDom1+11,OctDom1+18)</f>
        <v>44119</v>
      </c>
      <c r="G6" s="10">
        <f>IF(DAY(OctDom1)=1,OctDom1+12,OctDom1+19)</f>
        <v>44120</v>
      </c>
      <c r="H6" s="10">
        <f>IF(DAY(OctDom1)=1,OctDom1+13,OctDom1+20)</f>
        <v>44121</v>
      </c>
      <c r="I6" s="10">
        <f>IF(DAY(OctDom1)=1,OctDom1+14,OctDom1+21)</f>
        <v>44122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IF(DAY(OctDom1)=1,OctDom1+15,OctDom1+22)</f>
        <v>44123</v>
      </c>
      <c r="D7" s="10">
        <f>IF(DAY(OctDom1)=1,OctDom1+16,OctDom1+23)</f>
        <v>44124</v>
      </c>
      <c r="E7" s="10">
        <f>IF(DAY(OctDom1)=1,OctDom1+17,OctDom1+24)</f>
        <v>44125</v>
      </c>
      <c r="F7" s="10">
        <f>IF(DAY(OctDom1)=1,OctDom1+18,OctDom1+25)</f>
        <v>44126</v>
      </c>
      <c r="G7" s="10">
        <f>IF(DAY(OctDom1)=1,OctDom1+19,OctDom1+26)</f>
        <v>44127</v>
      </c>
      <c r="H7" s="10">
        <f>IF(DAY(OctDom1)=1,OctDom1+20,OctDom1+27)</f>
        <v>44128</v>
      </c>
      <c r="I7" s="10">
        <f>IF(DAY(OctDom1)=1,OctDom1+21,OctDom1+28)</f>
        <v>44129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IF(DAY(OctDom1)=1,OctDom1+22,OctDom1+29)</f>
        <v>44130</v>
      </c>
      <c r="D8" s="10">
        <f>IF(DAY(OctDom1)=1,OctDom1+23,OctDom1+30)</f>
        <v>44131</v>
      </c>
      <c r="E8" s="10">
        <f>IF(DAY(OctDom1)=1,OctDom1+24,OctDom1+31)</f>
        <v>44132</v>
      </c>
      <c r="F8" s="10">
        <f>IF(DAY(OctDom1)=1,OctDom1+25,OctDom1+32)</f>
        <v>44133</v>
      </c>
      <c r="G8" s="10">
        <f>IF(DAY(OctDom1)=1,OctDom1+26,OctDom1+33)</f>
        <v>44134</v>
      </c>
      <c r="H8" s="10">
        <f>IF(DAY(OctDom1)=1,OctDom1+27,OctDom1+34)</f>
        <v>44135</v>
      </c>
      <c r="I8" s="10">
        <f>IF(DAY(OctDom1)=1,OctDom1+28,OctDom1+35)</f>
        <v>44136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IF(DAY(OctDom1)=1,OctDom1+29,OctDom1+36)</f>
        <v>44137</v>
      </c>
      <c r="D9" s="10">
        <f>IF(DAY(OctDom1)=1,OctDom1+30,OctDom1+37)</f>
        <v>44138</v>
      </c>
      <c r="E9" s="10">
        <f>IF(DAY(OctDom1)=1,OctDom1+31,OctDom1+38)</f>
        <v>44139</v>
      </c>
      <c r="F9" s="10">
        <f>IF(DAY(OctDom1)=1,OctDom1+32,OctDom1+39)</f>
        <v>44140</v>
      </c>
      <c r="G9" s="10">
        <f>IF(DAY(OctDom1)=1,OctDom1+33,OctDom1+40)</f>
        <v>44141</v>
      </c>
      <c r="H9" s="10">
        <f>IF(DAY(OctDom1)=1,OctDom1+34,OctDom1+41)</f>
        <v>44142</v>
      </c>
      <c r="I9" s="10">
        <f>IF(DAY(OctDom1)=1,OctDom1+35,OctDom1+42)</f>
        <v>44143</v>
      </c>
      <c r="J9" s="5"/>
      <c r="K9" s="12"/>
      <c r="L9" s="18"/>
      <c r="M9" s="31"/>
      <c r="N9" s="32"/>
    </row>
    <row r="10" spans="1:14" ht="64.5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95" t="s">
        <v>51</v>
      </c>
      <c r="N10" s="96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/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4" priority="4" stopIfTrue="1">
      <formula>DAY(C4)&gt;8</formula>
    </cfRule>
  </conditionalFormatting>
  <conditionalFormatting sqref="C8:I10">
    <cfRule type="expression" dxfId="13" priority="3" stopIfTrue="1">
      <formula>AND(DAY(C8)&gt;=1,DAY(C8)&lt;=15)</formula>
    </cfRule>
  </conditionalFormatting>
  <conditionalFormatting sqref="C4:I9">
    <cfRule type="expression" dxfId="12" priority="5">
      <formula>VLOOKUP(DAY(C4),DíasDeTareas,1,FALSE)=DAY(C4)</formula>
    </cfRule>
  </conditionalFormatting>
  <conditionalFormatting sqref="B14:J29 B33:J33">
    <cfRule type="expression" dxfId="11" priority="2">
      <formula>B14&lt;&gt;""</formula>
    </cfRule>
  </conditionalFormatting>
  <conditionalFormatting sqref="B30">
    <cfRule type="expression" dxfId="10" priority="1">
      <formula>B30&lt;&gt;""</formula>
    </cfRule>
  </conditionalFormatting>
  <printOptions horizontalCentered="1"/>
  <pageMargins left="0.5" right="0.5" top="0.5" bottom="0.5" header="0.3" footer="0.3"/>
  <pageSetup scale="6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22" sqref="M21:N2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16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IF(DAY(NovDom1)=1,NovDom1-6,NovDom1+1)</f>
        <v>44130</v>
      </c>
      <c r="D4" s="10">
        <f>IF(DAY(NovDom1)=1,NovDom1-5,NovDom1+2)</f>
        <v>44131</v>
      </c>
      <c r="E4" s="10">
        <f>IF(DAY(NovDom1)=1,NovDom1-4,NovDom1+3)</f>
        <v>44132</v>
      </c>
      <c r="F4" s="10">
        <f>IF(DAY(NovDom1)=1,NovDom1-3,NovDom1+4)</f>
        <v>44133</v>
      </c>
      <c r="G4" s="10">
        <f>IF(DAY(NovDom1)=1,NovDom1-2,NovDom1+5)</f>
        <v>44134</v>
      </c>
      <c r="H4" s="10">
        <f>IF(DAY(NovDom1)=1,NovDom1-1,NovDom1+6)</f>
        <v>44135</v>
      </c>
      <c r="I4" s="10">
        <f>IF(DAY(NovDom1)=1,NovDom1,NovDom1+7)</f>
        <v>44136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IF(DAY(NovDom1)=1,NovDom1+1,NovDom1+8)</f>
        <v>44137</v>
      </c>
      <c r="D5" s="10">
        <f>IF(DAY(NovDom1)=1,NovDom1+2,NovDom1+9)</f>
        <v>44138</v>
      </c>
      <c r="E5" s="10">
        <f>IF(DAY(NovDom1)=1,NovDom1+3,NovDom1+10)</f>
        <v>44139</v>
      </c>
      <c r="F5" s="10">
        <f>IF(DAY(NovDom1)=1,NovDom1+4,NovDom1+11)</f>
        <v>44140</v>
      </c>
      <c r="G5" s="10">
        <f>IF(DAY(NovDom1)=1,NovDom1+5,NovDom1+12)</f>
        <v>44141</v>
      </c>
      <c r="H5" s="10">
        <f>IF(DAY(NovDom1)=1,NovDom1+6,NovDom1+13)</f>
        <v>44142</v>
      </c>
      <c r="I5" s="10">
        <f>IF(DAY(NovDom1)=1,NovDom1+7,NovDom1+14)</f>
        <v>44143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IF(DAY(NovDom1)=1,NovDom1+8,NovDom1+15)</f>
        <v>44144</v>
      </c>
      <c r="D6" s="10">
        <f>IF(DAY(NovDom1)=1,NovDom1+9,NovDom1+16)</f>
        <v>44145</v>
      </c>
      <c r="E6" s="10">
        <f>IF(DAY(NovDom1)=1,NovDom1+10,NovDom1+17)</f>
        <v>44146</v>
      </c>
      <c r="F6" s="10">
        <f>IF(DAY(NovDom1)=1,NovDom1+11,NovDom1+18)</f>
        <v>44147</v>
      </c>
      <c r="G6" s="10">
        <f>IF(DAY(NovDom1)=1,NovDom1+12,NovDom1+19)</f>
        <v>44148</v>
      </c>
      <c r="H6" s="10">
        <f>IF(DAY(NovDom1)=1,NovDom1+13,NovDom1+20)</f>
        <v>44149</v>
      </c>
      <c r="I6" s="10">
        <f>IF(DAY(NovDom1)=1,NovDom1+14,NovDom1+21)</f>
        <v>44150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IF(DAY(NovDom1)=1,NovDom1+15,NovDom1+22)</f>
        <v>44151</v>
      </c>
      <c r="D7" s="10">
        <f>IF(DAY(NovDom1)=1,NovDom1+16,NovDom1+23)</f>
        <v>44152</v>
      </c>
      <c r="E7" s="10">
        <f>IF(DAY(NovDom1)=1,NovDom1+17,NovDom1+24)</f>
        <v>44153</v>
      </c>
      <c r="F7" s="10">
        <f>IF(DAY(NovDom1)=1,NovDom1+18,NovDom1+25)</f>
        <v>44154</v>
      </c>
      <c r="G7" s="10">
        <f>IF(DAY(NovDom1)=1,NovDom1+19,NovDom1+26)</f>
        <v>44155</v>
      </c>
      <c r="H7" s="10">
        <f>IF(DAY(NovDom1)=1,NovDom1+20,NovDom1+27)</f>
        <v>44156</v>
      </c>
      <c r="I7" s="10">
        <f>IF(DAY(NovDom1)=1,NovDom1+21,NovDom1+28)</f>
        <v>44157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IF(DAY(NovDom1)=1,NovDom1+22,NovDom1+29)</f>
        <v>44158</v>
      </c>
      <c r="D8" s="10">
        <f>IF(DAY(NovDom1)=1,NovDom1+23,NovDom1+30)</f>
        <v>44159</v>
      </c>
      <c r="E8" s="10">
        <f>IF(DAY(NovDom1)=1,NovDom1+24,NovDom1+31)</f>
        <v>44160</v>
      </c>
      <c r="F8" s="10">
        <f>IF(DAY(NovDom1)=1,NovDom1+25,NovDom1+32)</f>
        <v>44161</v>
      </c>
      <c r="G8" s="10">
        <f>IF(DAY(NovDom1)=1,NovDom1+26,NovDom1+33)</f>
        <v>44162</v>
      </c>
      <c r="H8" s="10">
        <f>IF(DAY(NovDom1)=1,NovDom1+27,NovDom1+34)</f>
        <v>44163</v>
      </c>
      <c r="I8" s="10">
        <f>IF(DAY(NovDom1)=1,NovDom1+28,NovDom1+35)</f>
        <v>44164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IF(DAY(NovDom1)=1,NovDom1+29,NovDom1+36)</f>
        <v>44165</v>
      </c>
      <c r="D9" s="10">
        <f>IF(DAY(NovDom1)=1,NovDom1+30,NovDom1+37)</f>
        <v>44166</v>
      </c>
      <c r="E9" s="10">
        <f>IF(DAY(NovDom1)=1,NovDom1+31,NovDom1+38)</f>
        <v>44167</v>
      </c>
      <c r="F9" s="10">
        <f>IF(DAY(NovDom1)=1,NovDom1+32,NovDom1+39)</f>
        <v>44168</v>
      </c>
      <c r="G9" s="10">
        <f>IF(DAY(NovDom1)=1,NovDom1+33,NovDom1+40)</f>
        <v>44169</v>
      </c>
      <c r="H9" s="10">
        <f>IF(DAY(NovDom1)=1,NovDom1+34,NovDom1+41)</f>
        <v>44170</v>
      </c>
      <c r="I9" s="10">
        <f>IF(DAY(NovDom1)=1,NovDom1+35,NovDom1+42)</f>
        <v>44171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61.5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95" t="s">
        <v>51</v>
      </c>
      <c r="N11" s="96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9" priority="4" stopIfTrue="1">
      <formula>DAY(C4)&gt;8</formula>
    </cfRule>
  </conditionalFormatting>
  <conditionalFormatting sqref="C8:I10">
    <cfRule type="expression" dxfId="8" priority="3" stopIfTrue="1">
      <formula>AND(DAY(C8)&gt;=1,DAY(C8)&lt;=15)</formula>
    </cfRule>
  </conditionalFormatting>
  <conditionalFormatting sqref="C4:I9">
    <cfRule type="expression" dxfId="7" priority="5">
      <formula>VLOOKUP(DAY(C4),DíasDeTareas,1,FALSE)=DAY(C4)</formula>
    </cfRule>
  </conditionalFormatting>
  <conditionalFormatting sqref="B14:J29 B33:J33">
    <cfRule type="expression" dxfId="6" priority="2">
      <formula>B14&lt;&gt;""</formula>
    </cfRule>
  </conditionalFormatting>
  <conditionalFormatting sqref="B30">
    <cfRule type="expression" dxfId="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abSelected="1" zoomScaleNormal="100" zoomScalePageLayoutView="84" workbookViewId="0">
      <selection activeCell="M18" sqref="M18:N18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9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IF(DAY(DicDom1)=1,DicDom1-6,DicDom1+1)</f>
        <v>44165</v>
      </c>
      <c r="D4" s="10">
        <f>IF(DAY(DicDom1)=1,DicDom1-5,DicDom1+2)</f>
        <v>44166</v>
      </c>
      <c r="E4" s="10">
        <f>IF(DAY(DicDom1)=1,DicDom1-4,DicDom1+3)</f>
        <v>44167</v>
      </c>
      <c r="F4" s="10">
        <f>IF(DAY(DicDom1)=1,DicDom1-3,DicDom1+4)</f>
        <v>44168</v>
      </c>
      <c r="G4" s="10">
        <f>IF(DAY(DicDom1)=1,DicDom1-2,DicDom1+5)</f>
        <v>44169</v>
      </c>
      <c r="H4" s="10">
        <f>IF(DAY(DicDom1)=1,DicDom1-1,DicDom1+6)</f>
        <v>44170</v>
      </c>
      <c r="I4" s="10">
        <f>IF(DAY(DicDom1)=1,DicDom1,DicDom1+7)</f>
        <v>44171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IF(DAY(DicDom1)=1,DicDom1+1,DicDom1+8)</f>
        <v>44172</v>
      </c>
      <c r="D5" s="10">
        <f>IF(DAY(DicDom1)=1,DicDom1+2,DicDom1+9)</f>
        <v>44173</v>
      </c>
      <c r="E5" s="10">
        <f>IF(DAY(DicDom1)=1,DicDom1+3,DicDom1+10)</f>
        <v>44174</v>
      </c>
      <c r="F5" s="10">
        <f>IF(DAY(DicDom1)=1,DicDom1+4,DicDom1+11)</f>
        <v>44175</v>
      </c>
      <c r="G5" s="10">
        <f>IF(DAY(DicDom1)=1,DicDom1+5,DicDom1+12)</f>
        <v>44176</v>
      </c>
      <c r="H5" s="10">
        <f>IF(DAY(DicDom1)=1,DicDom1+6,DicDom1+13)</f>
        <v>44177</v>
      </c>
      <c r="I5" s="10">
        <f>IF(DAY(DicDom1)=1,DicDom1+7,DicDom1+14)</f>
        <v>44178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IF(DAY(DicDom1)=1,DicDom1+8,DicDom1+15)</f>
        <v>44179</v>
      </c>
      <c r="D6" s="10">
        <f>IF(DAY(DicDom1)=1,DicDom1+9,DicDom1+16)</f>
        <v>44180</v>
      </c>
      <c r="E6" s="10">
        <f>IF(DAY(DicDom1)=1,DicDom1+10,DicDom1+17)</f>
        <v>44181</v>
      </c>
      <c r="F6" s="10">
        <f>IF(DAY(DicDom1)=1,DicDom1+11,DicDom1+18)</f>
        <v>44182</v>
      </c>
      <c r="G6" s="10">
        <f>IF(DAY(DicDom1)=1,DicDom1+12,DicDom1+19)</f>
        <v>44183</v>
      </c>
      <c r="H6" s="10">
        <f>IF(DAY(DicDom1)=1,DicDom1+13,DicDom1+20)</f>
        <v>44184</v>
      </c>
      <c r="I6" s="10">
        <f>IF(DAY(DicDom1)=1,DicDom1+14,DicDom1+21)</f>
        <v>44185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IF(DAY(DicDom1)=1,DicDom1+15,DicDom1+22)</f>
        <v>44186</v>
      </c>
      <c r="D7" s="10">
        <f>IF(DAY(DicDom1)=1,DicDom1+16,DicDom1+23)</f>
        <v>44187</v>
      </c>
      <c r="E7" s="10">
        <f>IF(DAY(DicDom1)=1,DicDom1+17,DicDom1+24)</f>
        <v>44188</v>
      </c>
      <c r="F7" s="10">
        <f>IF(DAY(DicDom1)=1,DicDom1+18,DicDom1+25)</f>
        <v>44189</v>
      </c>
      <c r="G7" s="10">
        <f>IF(DAY(DicDom1)=1,DicDom1+19,DicDom1+26)</f>
        <v>44190</v>
      </c>
      <c r="H7" s="10">
        <f>IF(DAY(DicDom1)=1,DicDom1+20,DicDom1+27)</f>
        <v>44191</v>
      </c>
      <c r="I7" s="10">
        <f>IF(DAY(DicDom1)=1,DicDom1+21,DicDom1+28)</f>
        <v>44192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IF(DAY(DicDom1)=1,DicDom1+22,DicDom1+29)</f>
        <v>44193</v>
      </c>
      <c r="D8" s="10">
        <f>IF(DAY(DicDom1)=1,DicDom1+23,DicDom1+30)</f>
        <v>44194</v>
      </c>
      <c r="E8" s="10">
        <f>IF(DAY(DicDom1)=1,DicDom1+24,DicDom1+31)</f>
        <v>44195</v>
      </c>
      <c r="F8" s="10">
        <f>IF(DAY(DicDom1)=1,DicDom1+25,DicDom1+32)</f>
        <v>44196</v>
      </c>
      <c r="G8" s="10">
        <f>IF(DAY(DicDom1)=1,DicDom1+26,DicDom1+33)</f>
        <v>44197</v>
      </c>
      <c r="H8" s="10">
        <f>IF(DAY(DicDom1)=1,DicDom1+27,DicDom1+34)</f>
        <v>44198</v>
      </c>
      <c r="I8" s="10">
        <f>IF(DAY(DicDom1)=1,DicDom1+28,DicDom1+35)</f>
        <v>44199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IF(DAY(DicDom1)=1,DicDom1+29,DicDom1+36)</f>
        <v>44200</v>
      </c>
      <c r="D9" s="10">
        <f>IF(DAY(DicDom1)=1,DicDom1+30,DicDom1+37)</f>
        <v>44201</v>
      </c>
      <c r="E9" s="10">
        <f>IF(DAY(DicDom1)=1,DicDom1+31,DicDom1+38)</f>
        <v>44202</v>
      </c>
      <c r="F9" s="10">
        <f>IF(DAY(DicDom1)=1,DicDom1+32,DicDom1+39)</f>
        <v>44203</v>
      </c>
      <c r="G9" s="10">
        <f>IF(DAY(DicDom1)=1,DicDom1+33,DicDom1+40)</f>
        <v>44204</v>
      </c>
      <c r="H9" s="10">
        <f>IF(DAY(DicDom1)=1,DicDom1+34,DicDom1+41)</f>
        <v>44205</v>
      </c>
      <c r="I9" s="10">
        <f>IF(DAY(DicDom1)=1,DicDom1+35,DicDom1+42)</f>
        <v>44206</v>
      </c>
      <c r="J9" s="5"/>
      <c r="K9" s="12"/>
      <c r="L9" s="18"/>
      <c r="M9" s="31"/>
      <c r="N9" s="32"/>
    </row>
    <row r="10" spans="1:14" ht="90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95" t="s">
        <v>51</v>
      </c>
      <c r="N10" s="96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/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" priority="4" stopIfTrue="1">
      <formula>DAY(C4)&gt;8</formula>
    </cfRule>
  </conditionalFormatting>
  <conditionalFormatting sqref="C8:I10">
    <cfRule type="expression" dxfId="3" priority="3" stopIfTrue="1">
      <formula>AND(DAY(C8)&gt;=1,DAY(C8)&lt;=15)</formula>
    </cfRule>
  </conditionalFormatting>
  <conditionalFormatting sqref="C4:I9">
    <cfRule type="expression" dxfId="2" priority="5">
      <formula>VLOOKUP(DAY(C4),DíasDeTareas,1,FALSE)=DAY(C4)</formula>
    </cfRule>
  </conditionalFormatting>
  <conditionalFormatting sqref="B14:J29 B33:J33">
    <cfRule type="expression" dxfId="1" priority="2">
      <formula>B14&lt;&gt;""</formula>
    </cfRule>
  </conditionalFormatting>
  <conditionalFormatting sqref="B30">
    <cfRule type="expression" dxfId="0" priority="1">
      <formula>B30&lt;&gt;""</formula>
    </cfRule>
  </conditionalFormatting>
  <printOptions horizontalCentered="1"/>
  <pageMargins left="0.5" right="0.5" top="0.5" bottom="0.5" header="0.3" footer="0.3"/>
  <pageSetup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31" zoomScaleNormal="100" zoomScalePageLayoutView="84" workbookViewId="0">
      <selection activeCell="M31" activeCellId="1" sqref="M31:N31 M31:N3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25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IF(DAY(FebDom1)=1,FebDom1-6,FebDom1+1)</f>
        <v>43857</v>
      </c>
      <c r="D4" s="10">
        <f>IF(DAY(FebDom1)=1,FebDom1-5,FebDom1+2)</f>
        <v>43858</v>
      </c>
      <c r="E4" s="10">
        <f>IF(DAY(FebDom1)=1,FebDom1-4,FebDom1+3)</f>
        <v>43859</v>
      </c>
      <c r="F4" s="10">
        <f>IF(DAY(FebDom1)=1,FebDom1-3,FebDom1+4)</f>
        <v>43860</v>
      </c>
      <c r="G4" s="10">
        <f>IF(DAY(FebDom1)=1,FebDom1-2,FebDom1+5)</f>
        <v>43861</v>
      </c>
      <c r="H4" s="10">
        <f>IF(DAY(FebDom1)=1,FebDom1-1,FebDom1+6)</f>
        <v>43862</v>
      </c>
      <c r="I4" s="10">
        <f>IF(DAY(FebDom1)=1,FebDom1,FebDom1+7)</f>
        <v>43863</v>
      </c>
      <c r="J4" s="5"/>
      <c r="K4" s="81" t="s">
        <v>11</v>
      </c>
      <c r="L4" s="16"/>
      <c r="M4" s="82"/>
      <c r="N4" s="83"/>
    </row>
    <row r="5" spans="1:14" ht="39" customHeight="1" x14ac:dyDescent="0.2">
      <c r="A5" s="4"/>
      <c r="B5" s="40"/>
      <c r="C5" s="10">
        <f>IF(DAY(FebDom1)=1,FebDom1+1,FebDom1+8)</f>
        <v>43864</v>
      </c>
      <c r="D5" s="10">
        <f>IF(DAY(FebDom1)=1,FebDom1+2,FebDom1+9)</f>
        <v>43865</v>
      </c>
      <c r="E5" s="10">
        <f>IF(DAY(FebDom1)=1,FebDom1+3,FebDom1+10)</f>
        <v>43866</v>
      </c>
      <c r="F5" s="10">
        <f>IF(DAY(FebDom1)=1,FebDom1+4,FebDom1+11)</f>
        <v>43867</v>
      </c>
      <c r="G5" s="10">
        <f>IF(DAY(FebDom1)=1,FebDom1+5,FebDom1+12)</f>
        <v>43868</v>
      </c>
      <c r="H5" s="10">
        <f>IF(DAY(FebDom1)=1,FebDom1+6,FebDom1+13)</f>
        <v>43869</v>
      </c>
      <c r="I5" s="10">
        <f>IF(DAY(FebDom1)=1,FebDom1+7,FebDom1+14)</f>
        <v>43870</v>
      </c>
      <c r="J5" s="5"/>
      <c r="K5" s="70"/>
      <c r="L5" s="17">
        <v>3</v>
      </c>
      <c r="M5" s="29" t="s">
        <v>38</v>
      </c>
    </row>
    <row r="6" spans="1:14" ht="18" customHeight="1" x14ac:dyDescent="0.2">
      <c r="A6" s="4"/>
      <c r="B6" s="40"/>
      <c r="C6" s="10">
        <f>IF(DAY(FebDom1)=1,FebDom1+8,FebDom1+15)</f>
        <v>43871</v>
      </c>
      <c r="D6" s="10">
        <f>IF(DAY(FebDom1)=1,FebDom1+9,FebDom1+16)</f>
        <v>43872</v>
      </c>
      <c r="E6" s="10">
        <f>IF(DAY(FebDom1)=1,FebDom1+10,FebDom1+17)</f>
        <v>43873</v>
      </c>
      <c r="F6" s="10">
        <f>IF(DAY(FebDom1)=1,FebDom1+11,FebDom1+18)</f>
        <v>43874</v>
      </c>
      <c r="G6" s="10">
        <f>IF(DAY(FebDom1)=1,FebDom1+12,FebDom1+19)</f>
        <v>43875</v>
      </c>
      <c r="H6" s="10">
        <f>IF(DAY(FebDom1)=1,FebDom1+13,FebDom1+20)</f>
        <v>43876</v>
      </c>
      <c r="I6" s="10">
        <f>IF(DAY(FebDom1)=1,FebDom1+14,FebDom1+21)</f>
        <v>43877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IF(DAY(FebDom1)=1,FebDom1+15,FebDom1+22)</f>
        <v>43878</v>
      </c>
      <c r="D7" s="10">
        <f>IF(DAY(FebDom1)=1,FebDom1+16,FebDom1+23)</f>
        <v>43879</v>
      </c>
      <c r="E7" s="10">
        <f>IF(DAY(FebDom1)=1,FebDom1+17,FebDom1+24)</f>
        <v>43880</v>
      </c>
      <c r="F7" s="10">
        <f>IF(DAY(FebDom1)=1,FebDom1+18,FebDom1+25)</f>
        <v>43881</v>
      </c>
      <c r="G7" s="10">
        <f>IF(DAY(FebDom1)=1,FebDom1+19,FebDom1+26)</f>
        <v>43882</v>
      </c>
      <c r="H7" s="10">
        <f>IF(DAY(FebDom1)=1,FebDom1+20,FebDom1+27)</f>
        <v>43883</v>
      </c>
      <c r="I7" s="10">
        <f>IF(DAY(FebDom1)=1,FebDom1+21,FebDom1+28)</f>
        <v>43884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IF(DAY(FebDom1)=1,FebDom1+22,FebDom1+29)</f>
        <v>43885</v>
      </c>
      <c r="D8" s="10">
        <f>IF(DAY(FebDom1)=1,FebDom1+23,FebDom1+30)</f>
        <v>43886</v>
      </c>
      <c r="E8" s="10">
        <f>IF(DAY(FebDom1)=1,FebDom1+24,FebDom1+31)</f>
        <v>43887</v>
      </c>
      <c r="F8" s="10">
        <f>IF(DAY(FebDom1)=1,FebDom1+25,FebDom1+32)</f>
        <v>43888</v>
      </c>
      <c r="G8" s="10">
        <f>IF(DAY(FebDom1)=1,FebDom1+26,FebDom1+33)</f>
        <v>43889</v>
      </c>
      <c r="H8" s="10">
        <f>IF(DAY(FebDom1)=1,FebDom1+27,FebDom1+34)</f>
        <v>43890</v>
      </c>
      <c r="I8" s="10">
        <f>IF(DAY(FebDom1)=1,FebDom1+28,FebDom1+35)</f>
        <v>43891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IF(DAY(FebDom1)=1,FebDom1+29,FebDom1+36)</f>
        <v>43892</v>
      </c>
      <c r="D9" s="10">
        <f>IF(DAY(FebDom1)=1,FebDom1+30,FebDom1+37)</f>
        <v>43893</v>
      </c>
      <c r="E9" s="10">
        <f>IF(DAY(FebDom1)=1,FebDom1+31,FebDom1+38)</f>
        <v>43894</v>
      </c>
      <c r="F9" s="10">
        <f>IF(DAY(FebDom1)=1,FebDom1+32,FebDom1+39)</f>
        <v>43895</v>
      </c>
      <c r="G9" s="10">
        <f>IF(DAY(FebDom1)=1,FebDom1+33,FebDom1+40)</f>
        <v>43896</v>
      </c>
      <c r="H9" s="10">
        <f>IF(DAY(FebDom1)=1,FebDom1+34,FebDom1+41)</f>
        <v>43897</v>
      </c>
      <c r="I9" s="10">
        <f>IF(DAY(FebDom1)=1,FebDom1+35,FebDom1+42)</f>
        <v>43898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49.5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>
        <v>4</v>
      </c>
      <c r="M11" s="35" t="s">
        <v>39</v>
      </c>
      <c r="N11" s="36"/>
    </row>
    <row r="12" spans="1:14" ht="42.75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>
        <v>11</v>
      </c>
      <c r="M12" s="88" t="s">
        <v>40</v>
      </c>
      <c r="N12" s="89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48.75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>
        <v>5</v>
      </c>
      <c r="M17" s="35" t="s">
        <v>41</v>
      </c>
      <c r="N17" s="36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37.5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>
        <v>6</v>
      </c>
      <c r="M23" s="35" t="s">
        <v>42</v>
      </c>
      <c r="N23" s="36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52.5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>
        <v>7</v>
      </c>
      <c r="M29" s="35" t="s">
        <v>43</v>
      </c>
      <c r="N29" s="36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31.5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88"/>
      <c r="N31" s="89"/>
    </row>
    <row r="32" spans="2:14" ht="28.5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88"/>
      <c r="N32" s="89"/>
    </row>
    <row r="33" spans="2:14" ht="18" customHeight="1" x14ac:dyDescent="0.2">
      <c r="B33" s="90" t="s">
        <v>27</v>
      </c>
      <c r="C33" s="91"/>
      <c r="D33" s="91"/>
      <c r="E33" s="91"/>
      <c r="F33" s="91"/>
      <c r="G33" s="91"/>
      <c r="H33" s="91"/>
      <c r="I33" s="91"/>
      <c r="J33" s="92"/>
      <c r="K33" s="15"/>
      <c r="L33" s="20"/>
      <c r="M33" s="75"/>
      <c r="N33" s="76"/>
    </row>
  </sheetData>
  <mergeCells count="107">
    <mergeCell ref="M10:N10"/>
    <mergeCell ref="B11:J12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11:N11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M33:N33"/>
    <mergeCell ref="M31:N31"/>
    <mergeCell ref="M32:N32"/>
    <mergeCell ref="B30:J32"/>
    <mergeCell ref="M29:N29"/>
    <mergeCell ref="M30:N30"/>
    <mergeCell ref="B33:J33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</mergeCells>
  <conditionalFormatting sqref="C4:H4">
    <cfRule type="expression" dxfId="54" priority="4" stopIfTrue="1">
      <formula>DAY(C4)&gt;8</formula>
    </cfRule>
  </conditionalFormatting>
  <conditionalFormatting sqref="C8:I10">
    <cfRule type="expression" dxfId="53" priority="3" stopIfTrue="1">
      <formula>AND(DAY(C8)&gt;=1,DAY(C8)&lt;=15)</formula>
    </cfRule>
  </conditionalFormatting>
  <conditionalFormatting sqref="C4:I9">
    <cfRule type="expression" dxfId="52" priority="5">
      <formula>VLOOKUP(DAY(C4),DíasDeTareas,1,FALSE)=DAY(C4)</formula>
    </cfRule>
  </conditionalFormatting>
  <conditionalFormatting sqref="B14:J29 B33">
    <cfRule type="expression" dxfId="51" priority="2">
      <formula>B14&lt;&gt;""</formula>
    </cfRule>
  </conditionalFormatting>
  <conditionalFormatting sqref="B30">
    <cfRule type="expression" dxfId="50" priority="1">
      <formula>B30&lt;&gt;""</formula>
    </cfRule>
  </conditionalFormatting>
  <printOptions horizontalCentered="1"/>
  <pageMargins left="0.5" right="0.5" top="0.5" bottom="0.5" header="0.3" footer="0.3"/>
  <pageSetup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topLeftCell="A22" zoomScaleNormal="100" zoomScalePageLayoutView="84" workbookViewId="0">
      <selection activeCell="M32" sqref="M32:N32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285156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24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IF(DAY(MarDom1)=1,MarDom1-6,MarDom1+1)</f>
        <v>43885</v>
      </c>
      <c r="D4" s="10">
        <f>IF(DAY(MarDom1)=1,MarDom1-5,MarDom1+2)</f>
        <v>43886</v>
      </c>
      <c r="E4" s="10">
        <f>IF(DAY(MarDom1)=1,MarDom1-4,MarDom1+3)</f>
        <v>43887</v>
      </c>
      <c r="F4" s="10">
        <f>IF(DAY(MarDom1)=1,MarDom1-3,MarDom1+4)</f>
        <v>43888</v>
      </c>
      <c r="G4" s="10">
        <f>IF(DAY(MarDom1)=1,MarDom1-2,MarDom1+5)</f>
        <v>43889</v>
      </c>
      <c r="H4" s="10">
        <f>IF(DAY(MarDom1)=1,MarDom1-1,MarDom1+6)</f>
        <v>43890</v>
      </c>
      <c r="I4" s="10">
        <f>IF(DAY(MarDom1)=1,MarDom1,MarDom1+7)</f>
        <v>43891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IF(DAY(MarDom1)=1,MarDom1+1,MarDom1+8)</f>
        <v>43892</v>
      </c>
      <c r="D5" s="10">
        <f>IF(DAY(MarDom1)=1,MarDom1+2,MarDom1+9)</f>
        <v>43893</v>
      </c>
      <c r="E5" s="10">
        <f>IF(DAY(MarDom1)=1,MarDom1+3,MarDom1+10)</f>
        <v>43894</v>
      </c>
      <c r="F5" s="10">
        <f>IF(DAY(MarDom1)=1,MarDom1+4,MarDom1+11)</f>
        <v>43895</v>
      </c>
      <c r="G5" s="10">
        <f>IF(DAY(MarDom1)=1,MarDom1+5,MarDom1+12)</f>
        <v>43896</v>
      </c>
      <c r="H5" s="10">
        <f>IF(DAY(MarDom1)=1,MarDom1+6,MarDom1+13)</f>
        <v>43897</v>
      </c>
      <c r="I5" s="10">
        <f>IF(DAY(MarDom1)=1,MarDom1+7,MarDom1+14)</f>
        <v>43898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IF(DAY(MarDom1)=1,MarDom1+8,MarDom1+15)</f>
        <v>43899</v>
      </c>
      <c r="D6" s="10">
        <f>IF(DAY(MarDom1)=1,MarDom1+9,MarDom1+16)</f>
        <v>43900</v>
      </c>
      <c r="E6" s="10">
        <f>IF(DAY(MarDom1)=1,MarDom1+10,MarDom1+17)</f>
        <v>43901</v>
      </c>
      <c r="F6" s="10">
        <f>IF(DAY(MarDom1)=1,MarDom1+11,MarDom1+18)</f>
        <v>43902</v>
      </c>
      <c r="G6" s="10">
        <f>IF(DAY(MarDom1)=1,MarDom1+12,MarDom1+19)</f>
        <v>43903</v>
      </c>
      <c r="H6" s="10">
        <f>IF(DAY(MarDom1)=1,MarDom1+13,MarDom1+20)</f>
        <v>43904</v>
      </c>
      <c r="I6" s="10">
        <f>IF(DAY(MarDom1)=1,MarDom1+14,MarDom1+21)</f>
        <v>43905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IF(DAY(MarDom1)=1,MarDom1+15,MarDom1+22)</f>
        <v>43906</v>
      </c>
      <c r="D7" s="10">
        <f>IF(DAY(MarDom1)=1,MarDom1+16,MarDom1+23)</f>
        <v>43907</v>
      </c>
      <c r="E7" s="10">
        <f>IF(DAY(MarDom1)=1,MarDom1+17,MarDom1+24)</f>
        <v>43908</v>
      </c>
      <c r="F7" s="10">
        <f>IF(DAY(MarDom1)=1,MarDom1+18,MarDom1+25)</f>
        <v>43909</v>
      </c>
      <c r="G7" s="10">
        <f>IF(DAY(MarDom1)=1,MarDom1+19,MarDom1+26)</f>
        <v>43910</v>
      </c>
      <c r="H7" s="10">
        <f>IF(DAY(MarDom1)=1,MarDom1+20,MarDom1+27)</f>
        <v>43911</v>
      </c>
      <c r="I7" s="10">
        <f>IF(DAY(MarDom1)=1,MarDom1+21,MarDom1+28)</f>
        <v>43912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IF(DAY(MarDom1)=1,MarDom1+22,MarDom1+29)</f>
        <v>43913</v>
      </c>
      <c r="D8" s="10">
        <f>IF(DAY(MarDom1)=1,MarDom1+23,MarDom1+30)</f>
        <v>43914</v>
      </c>
      <c r="E8" s="10">
        <f>IF(DAY(MarDom1)=1,MarDom1+24,MarDom1+31)</f>
        <v>43915</v>
      </c>
      <c r="F8" s="10">
        <f>IF(DAY(MarDom1)=1,MarDom1+25,MarDom1+32)</f>
        <v>43916</v>
      </c>
      <c r="G8" s="10">
        <f>IF(DAY(MarDom1)=1,MarDom1+26,MarDom1+33)</f>
        <v>43917</v>
      </c>
      <c r="H8" s="10">
        <f>IF(DAY(MarDom1)=1,MarDom1+27,MarDom1+34)</f>
        <v>43918</v>
      </c>
      <c r="I8" s="10">
        <f>IF(DAY(MarDom1)=1,MarDom1+28,MarDom1+35)</f>
        <v>43919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IF(DAY(MarDom1)=1,MarDom1+29,MarDom1+36)</f>
        <v>43920</v>
      </c>
      <c r="D9" s="10">
        <f>IF(DAY(MarDom1)=1,MarDom1+30,MarDom1+37)</f>
        <v>43921</v>
      </c>
      <c r="E9" s="10">
        <f>IF(DAY(MarDom1)=1,MarDom1+31,MarDom1+38)</f>
        <v>43922</v>
      </c>
      <c r="F9" s="10">
        <f>IF(DAY(MarDom1)=1,MarDom1+32,MarDom1+39)</f>
        <v>43923</v>
      </c>
      <c r="G9" s="10">
        <f>IF(DAY(MarDom1)=1,MarDom1+33,MarDom1+40)</f>
        <v>43924</v>
      </c>
      <c r="H9" s="10">
        <f>IF(DAY(MarDom1)=1,MarDom1+34,MarDom1+41)</f>
        <v>43925</v>
      </c>
      <c r="I9" s="10">
        <f>IF(DAY(MarDom1)=1,MarDom1+35,MarDom1+42)</f>
        <v>43926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>
        <v>10</v>
      </c>
      <c r="M11" s="37" t="s">
        <v>44</v>
      </c>
      <c r="N11" s="38"/>
    </row>
    <row r="12" spans="1:14" ht="30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>
        <v>17</v>
      </c>
      <c r="M12" s="35" t="s">
        <v>45</v>
      </c>
      <c r="N12" s="36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>
        <v>11</v>
      </c>
      <c r="M17" s="37" t="s">
        <v>29</v>
      </c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7"/>
      <c r="N22" s="38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40.5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>
        <v>19</v>
      </c>
      <c r="M24" s="35" t="s">
        <v>46</v>
      </c>
      <c r="N24" s="36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28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69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30" t="s">
        <v>47</v>
      </c>
      <c r="M32" s="35" t="s">
        <v>48</v>
      </c>
      <c r="N32" s="36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9" priority="4" stopIfTrue="1">
      <formula>DAY(C4)&gt;8</formula>
    </cfRule>
  </conditionalFormatting>
  <conditionalFormatting sqref="C8:I10">
    <cfRule type="expression" dxfId="48" priority="3" stopIfTrue="1">
      <formula>AND(DAY(C8)&gt;=1,DAY(C8)&lt;=15)</formula>
    </cfRule>
  </conditionalFormatting>
  <conditionalFormatting sqref="C4:I9">
    <cfRule type="expression" dxfId="47" priority="5">
      <formula>VLOOKUP(DAY(C4),DíasDeTareas,1,FALSE)=DAY(C4)</formula>
    </cfRule>
  </conditionalFormatting>
  <conditionalFormatting sqref="B14:J29 B33:J33">
    <cfRule type="expression" dxfId="46" priority="2">
      <formula>B14&lt;&gt;""</formula>
    </cfRule>
  </conditionalFormatting>
  <conditionalFormatting sqref="B30">
    <cfRule type="expression" dxfId="45" priority="1">
      <formula>B30&lt;&gt;""</formula>
    </cfRule>
  </conditionalFormatting>
  <printOptions horizontalCentered="1"/>
  <pageMargins left="0.5" right="0.5" top="0.5" bottom="0.5" header="0.3" footer="0.3"/>
  <pageSetup scale="5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9" sqref="M9:N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23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IF(DAY(AbrDom1)=1,AbrDom1-6,AbrDom1+1)</f>
        <v>43920</v>
      </c>
      <c r="D4" s="10">
        <f>IF(DAY(AbrDom1)=1,AbrDom1-5,AbrDom1+2)</f>
        <v>43921</v>
      </c>
      <c r="E4" s="10">
        <f>IF(DAY(AbrDom1)=1,AbrDom1-4,AbrDom1+3)</f>
        <v>43922</v>
      </c>
      <c r="F4" s="10">
        <f>IF(DAY(AbrDom1)=1,AbrDom1-3,AbrDom1+4)</f>
        <v>43923</v>
      </c>
      <c r="G4" s="10">
        <f>IF(DAY(AbrDom1)=1,AbrDom1-2,AbrDom1+5)</f>
        <v>43924</v>
      </c>
      <c r="H4" s="10">
        <f>IF(DAY(AbrDom1)=1,AbrDom1-1,AbrDom1+6)</f>
        <v>43925</v>
      </c>
      <c r="I4" s="10">
        <f>IF(DAY(AbrDom1)=1,AbrDom1,AbrDom1+7)</f>
        <v>43926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IF(DAY(AbrDom1)=1,AbrDom1+1,AbrDom1+8)</f>
        <v>43927</v>
      </c>
      <c r="D5" s="10">
        <f>IF(DAY(AbrDom1)=1,AbrDom1+2,AbrDom1+9)</f>
        <v>43928</v>
      </c>
      <c r="E5" s="10">
        <f>IF(DAY(AbrDom1)=1,AbrDom1+3,AbrDom1+10)</f>
        <v>43929</v>
      </c>
      <c r="F5" s="10">
        <f>IF(DAY(AbrDom1)=1,AbrDom1+4,AbrDom1+11)</f>
        <v>43930</v>
      </c>
      <c r="G5" s="10">
        <f>IF(DAY(AbrDom1)=1,AbrDom1+5,AbrDom1+12)</f>
        <v>43931</v>
      </c>
      <c r="H5" s="10">
        <f>IF(DAY(AbrDom1)=1,AbrDom1+6,AbrDom1+13)</f>
        <v>43932</v>
      </c>
      <c r="I5" s="10">
        <f>IF(DAY(AbrDom1)=1,AbrDom1+7,AbrDom1+14)</f>
        <v>43933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IF(DAY(AbrDom1)=1,AbrDom1+8,AbrDom1+15)</f>
        <v>43934</v>
      </c>
      <c r="D6" s="10">
        <f>IF(DAY(AbrDom1)=1,AbrDom1+9,AbrDom1+16)</f>
        <v>43935</v>
      </c>
      <c r="E6" s="10">
        <f>IF(DAY(AbrDom1)=1,AbrDom1+10,AbrDom1+17)</f>
        <v>43936</v>
      </c>
      <c r="F6" s="10">
        <f>IF(DAY(AbrDom1)=1,AbrDom1+11,AbrDom1+18)</f>
        <v>43937</v>
      </c>
      <c r="G6" s="10">
        <f>IF(DAY(AbrDom1)=1,AbrDom1+12,AbrDom1+19)</f>
        <v>43938</v>
      </c>
      <c r="H6" s="10">
        <f>IF(DAY(AbrDom1)=1,AbrDom1+13,AbrDom1+20)</f>
        <v>43939</v>
      </c>
      <c r="I6" s="10">
        <f>IF(DAY(AbrDom1)=1,AbrDom1+14,AbrDom1+21)</f>
        <v>43940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IF(DAY(AbrDom1)=1,AbrDom1+15,AbrDom1+22)</f>
        <v>43941</v>
      </c>
      <c r="D7" s="10">
        <f>IF(DAY(AbrDom1)=1,AbrDom1+16,AbrDom1+23)</f>
        <v>43942</v>
      </c>
      <c r="E7" s="10">
        <f>IF(DAY(AbrDom1)=1,AbrDom1+17,AbrDom1+24)</f>
        <v>43943</v>
      </c>
      <c r="F7" s="10">
        <f>IF(DAY(AbrDom1)=1,AbrDom1+18,AbrDom1+25)</f>
        <v>43944</v>
      </c>
      <c r="G7" s="10">
        <f>IF(DAY(AbrDom1)=1,AbrDom1+19,AbrDom1+26)</f>
        <v>43945</v>
      </c>
      <c r="H7" s="10">
        <f>IF(DAY(AbrDom1)=1,AbrDom1+20,AbrDom1+27)</f>
        <v>43946</v>
      </c>
      <c r="I7" s="10">
        <f>IF(DAY(AbrDom1)=1,AbrDom1+21,AbrDom1+28)</f>
        <v>43947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IF(DAY(AbrDom1)=1,AbrDom1+22,AbrDom1+29)</f>
        <v>43948</v>
      </c>
      <c r="D8" s="10">
        <f>IF(DAY(AbrDom1)=1,AbrDom1+23,AbrDom1+30)</f>
        <v>43949</v>
      </c>
      <c r="E8" s="10">
        <f>IF(DAY(AbrDom1)=1,AbrDom1+24,AbrDom1+31)</f>
        <v>43950</v>
      </c>
      <c r="F8" s="10">
        <f>IF(DAY(AbrDom1)=1,AbrDom1+25,AbrDom1+32)</f>
        <v>43951</v>
      </c>
      <c r="G8" s="10">
        <f>IF(DAY(AbrDom1)=1,AbrDom1+26,AbrDom1+33)</f>
        <v>43952</v>
      </c>
      <c r="H8" s="10">
        <f>IF(DAY(AbrDom1)=1,AbrDom1+27,AbrDom1+34)</f>
        <v>43953</v>
      </c>
      <c r="I8" s="10">
        <f>IF(DAY(AbrDom1)=1,AbrDom1+28,AbrDom1+35)</f>
        <v>43954</v>
      </c>
      <c r="J8" s="5"/>
      <c r="K8" s="11"/>
      <c r="L8" s="17"/>
      <c r="M8" s="37"/>
      <c r="N8" s="38"/>
    </row>
    <row r="9" spans="1:14" ht="68.25" customHeight="1" x14ac:dyDescent="0.2">
      <c r="A9" s="4"/>
      <c r="B9" s="40"/>
      <c r="C9" s="10">
        <f>IF(DAY(AbrDom1)=1,AbrDom1+29,AbrDom1+36)</f>
        <v>43955</v>
      </c>
      <c r="D9" s="10">
        <f>IF(DAY(AbrDom1)=1,AbrDom1+30,AbrDom1+37)</f>
        <v>43956</v>
      </c>
      <c r="E9" s="10">
        <f>IF(DAY(AbrDom1)=1,AbrDom1+31,AbrDom1+38)</f>
        <v>43957</v>
      </c>
      <c r="F9" s="10">
        <f>IF(DAY(AbrDom1)=1,AbrDom1+32,AbrDom1+39)</f>
        <v>43958</v>
      </c>
      <c r="G9" s="10">
        <f>IF(DAY(AbrDom1)=1,AbrDom1+33,AbrDom1+40)</f>
        <v>43959</v>
      </c>
      <c r="H9" s="10">
        <f>IF(DAY(AbrDom1)=1,AbrDom1+34,AbrDom1+41)</f>
        <v>43960</v>
      </c>
      <c r="I9" s="10">
        <f>IF(DAY(AbrDom1)=1,AbrDom1+35,AbrDom1+42)</f>
        <v>43961</v>
      </c>
      <c r="J9" s="5"/>
      <c r="K9" s="12" t="s">
        <v>49</v>
      </c>
      <c r="L9" s="18"/>
      <c r="M9" s="93" t="s">
        <v>48</v>
      </c>
      <c r="N9" s="94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/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2.75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27"/>
      <c r="N16" s="28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0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44" priority="4" stopIfTrue="1">
      <formula>DAY(C4)&gt;8</formula>
    </cfRule>
  </conditionalFormatting>
  <conditionalFormatting sqref="C8:I10">
    <cfRule type="expression" dxfId="43" priority="3" stopIfTrue="1">
      <formula>AND(DAY(C8)&gt;=1,DAY(C8)&lt;=15)</formula>
    </cfRule>
  </conditionalFormatting>
  <conditionalFormatting sqref="C4:I9">
    <cfRule type="expression" dxfId="42" priority="5">
      <formula>VLOOKUP(DAY(C4),DíasDeTareas,1,FALSE)=DAY(C4)</formula>
    </cfRule>
  </conditionalFormatting>
  <conditionalFormatting sqref="B14:J29 B33:J33">
    <cfRule type="expression" dxfId="41" priority="2">
      <formula>B14&lt;&gt;""</formula>
    </cfRule>
  </conditionalFormatting>
  <conditionalFormatting sqref="B30">
    <cfRule type="expression" dxfId="40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6" sqref="M16:N16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6.570312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22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IF(DAY(MayDom1)=1,MayDom1-6,MayDom1+1)</f>
        <v>43948</v>
      </c>
      <c r="D4" s="10">
        <f>IF(DAY(MayDom1)=1,MayDom1-5,MayDom1+2)</f>
        <v>43949</v>
      </c>
      <c r="E4" s="10">
        <f>IF(DAY(MayDom1)=1,MayDom1-4,MayDom1+3)</f>
        <v>43950</v>
      </c>
      <c r="F4" s="10">
        <f>IF(DAY(MayDom1)=1,MayDom1-3,MayDom1+4)</f>
        <v>43951</v>
      </c>
      <c r="G4" s="10">
        <f>IF(DAY(MayDom1)=1,MayDom1-2,MayDom1+5)</f>
        <v>43952</v>
      </c>
      <c r="H4" s="10">
        <f>IF(DAY(MayDom1)=1,MayDom1-1,MayDom1+6)</f>
        <v>43953</v>
      </c>
      <c r="I4" s="10">
        <f>IF(DAY(MayDom1)=1,MayDom1,MayDom1+7)</f>
        <v>43954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IF(DAY(MayDom1)=1,MayDom1+1,MayDom1+8)</f>
        <v>43955</v>
      </c>
      <c r="D5" s="10">
        <f>IF(DAY(MayDom1)=1,MayDom1+2,MayDom1+9)</f>
        <v>43956</v>
      </c>
      <c r="E5" s="10">
        <f>IF(DAY(MayDom1)=1,MayDom1+3,MayDom1+10)</f>
        <v>43957</v>
      </c>
      <c r="F5" s="10">
        <f>IF(DAY(MayDom1)=1,MayDom1+4,MayDom1+11)</f>
        <v>43958</v>
      </c>
      <c r="G5" s="10">
        <f>IF(DAY(MayDom1)=1,MayDom1+5,MayDom1+12)</f>
        <v>43959</v>
      </c>
      <c r="H5" s="10">
        <f>IF(DAY(MayDom1)=1,MayDom1+6,MayDom1+13)</f>
        <v>43960</v>
      </c>
      <c r="I5" s="10">
        <f>IF(DAY(MayDom1)=1,MayDom1+7,MayDom1+14)</f>
        <v>43961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IF(DAY(MayDom1)=1,MayDom1+8,MayDom1+15)</f>
        <v>43962</v>
      </c>
      <c r="D6" s="10">
        <f>IF(DAY(MayDom1)=1,MayDom1+9,MayDom1+16)</f>
        <v>43963</v>
      </c>
      <c r="E6" s="10">
        <f>IF(DAY(MayDom1)=1,MayDom1+10,MayDom1+17)</f>
        <v>43964</v>
      </c>
      <c r="F6" s="10">
        <f>IF(DAY(MayDom1)=1,MayDom1+11,MayDom1+18)</f>
        <v>43965</v>
      </c>
      <c r="G6" s="10">
        <f>IF(DAY(MayDom1)=1,MayDom1+12,MayDom1+19)</f>
        <v>43966</v>
      </c>
      <c r="H6" s="10">
        <f>IF(DAY(MayDom1)=1,MayDom1+13,MayDom1+20)</f>
        <v>43967</v>
      </c>
      <c r="I6" s="10">
        <f>IF(DAY(MayDom1)=1,MayDom1+14,MayDom1+21)</f>
        <v>43968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IF(DAY(MayDom1)=1,MayDom1+15,MayDom1+22)</f>
        <v>43969</v>
      </c>
      <c r="D7" s="10">
        <f>IF(DAY(MayDom1)=1,MayDom1+16,MayDom1+23)</f>
        <v>43970</v>
      </c>
      <c r="E7" s="10">
        <f>IF(DAY(MayDom1)=1,MayDom1+17,MayDom1+24)</f>
        <v>43971</v>
      </c>
      <c r="F7" s="10">
        <f>IF(DAY(MayDom1)=1,MayDom1+18,MayDom1+25)</f>
        <v>43972</v>
      </c>
      <c r="G7" s="10">
        <f>IF(DAY(MayDom1)=1,MayDom1+19,MayDom1+26)</f>
        <v>43973</v>
      </c>
      <c r="H7" s="10">
        <f>IF(DAY(MayDom1)=1,MayDom1+20,MayDom1+27)</f>
        <v>43974</v>
      </c>
      <c r="I7" s="10">
        <f>IF(DAY(MayDom1)=1,MayDom1+21,MayDom1+28)</f>
        <v>43975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IF(DAY(MayDom1)=1,MayDom1+22,MayDom1+29)</f>
        <v>43976</v>
      </c>
      <c r="D8" s="10">
        <f>IF(DAY(MayDom1)=1,MayDom1+23,MayDom1+30)</f>
        <v>43977</v>
      </c>
      <c r="E8" s="10">
        <f>IF(DAY(MayDom1)=1,MayDom1+24,MayDom1+31)</f>
        <v>43978</v>
      </c>
      <c r="F8" s="10">
        <f>IF(DAY(MayDom1)=1,MayDom1+25,MayDom1+32)</f>
        <v>43979</v>
      </c>
      <c r="G8" s="10">
        <f>IF(DAY(MayDom1)=1,MayDom1+26,MayDom1+33)</f>
        <v>43980</v>
      </c>
      <c r="H8" s="10">
        <f>IF(DAY(MayDom1)=1,MayDom1+27,MayDom1+34)</f>
        <v>43981</v>
      </c>
      <c r="I8" s="10">
        <f>IF(DAY(MayDom1)=1,MayDom1+28,MayDom1+35)</f>
        <v>43982</v>
      </c>
      <c r="J8" s="5"/>
      <c r="K8" s="11"/>
      <c r="L8" s="17"/>
      <c r="M8" s="37"/>
      <c r="N8" s="38"/>
    </row>
    <row r="9" spans="1:14" ht="63" customHeight="1" x14ac:dyDescent="0.2">
      <c r="A9" s="4"/>
      <c r="B9" s="40"/>
      <c r="C9" s="10">
        <f>IF(DAY(MayDom1)=1,MayDom1+29,MayDom1+36)</f>
        <v>43983</v>
      </c>
      <c r="D9" s="10">
        <f>IF(DAY(MayDom1)=1,MayDom1+30,MayDom1+37)</f>
        <v>43984</v>
      </c>
      <c r="E9" s="10">
        <f>IF(DAY(MayDom1)=1,MayDom1+31,MayDom1+38)</f>
        <v>43985</v>
      </c>
      <c r="F9" s="10">
        <f>IF(DAY(MayDom1)=1,MayDom1+32,MayDom1+39)</f>
        <v>43986</v>
      </c>
      <c r="G9" s="10">
        <f>IF(DAY(MayDom1)=1,MayDom1+33,MayDom1+40)</f>
        <v>43987</v>
      </c>
      <c r="H9" s="10">
        <f>IF(DAY(MayDom1)=1,MayDom1+34,MayDom1+41)</f>
        <v>43988</v>
      </c>
      <c r="I9" s="10">
        <f>IF(DAY(MayDom1)=1,MayDom1+35,MayDom1+42)</f>
        <v>43989</v>
      </c>
      <c r="J9" s="5"/>
      <c r="K9" s="12"/>
      <c r="L9" s="18" t="s">
        <v>47</v>
      </c>
      <c r="M9" s="93" t="s">
        <v>48</v>
      </c>
      <c r="N9" s="94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/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39" priority="4" stopIfTrue="1">
      <formula>DAY(C4)&gt;8</formula>
    </cfRule>
  </conditionalFormatting>
  <conditionalFormatting sqref="C8:I10">
    <cfRule type="expression" dxfId="38" priority="3" stopIfTrue="1">
      <formula>AND(DAY(C8)&gt;=1,DAY(C8)&lt;=15)</formula>
    </cfRule>
  </conditionalFormatting>
  <conditionalFormatting sqref="C4:I9">
    <cfRule type="expression" dxfId="37" priority="5">
      <formula>VLOOKUP(DAY(C4),DíasDeTareas,1,FALSE)=DAY(C4)</formula>
    </cfRule>
  </conditionalFormatting>
  <conditionalFormatting sqref="B14:J29 B33:J33">
    <cfRule type="expression" dxfId="36" priority="2">
      <formula>B14&lt;&gt;""</formula>
    </cfRule>
  </conditionalFormatting>
  <conditionalFormatting sqref="B30">
    <cfRule type="expression" dxfId="35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S19" sqref="S1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21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IF(DAY(JunDom1)=1,JunDom1-6,JunDom1+1)</f>
        <v>43983</v>
      </c>
      <c r="D4" s="10">
        <f>IF(DAY(JunDom1)=1,JunDom1-5,JunDom1+2)</f>
        <v>43984</v>
      </c>
      <c r="E4" s="10">
        <f>IF(DAY(JunDom1)=1,JunDom1-4,JunDom1+3)</f>
        <v>43985</v>
      </c>
      <c r="F4" s="10">
        <f>IF(DAY(JunDom1)=1,JunDom1-3,JunDom1+4)</f>
        <v>43986</v>
      </c>
      <c r="G4" s="10">
        <f>IF(DAY(JunDom1)=1,JunDom1-2,JunDom1+5)</f>
        <v>43987</v>
      </c>
      <c r="H4" s="10">
        <f>IF(DAY(JunDom1)=1,JunDom1-1,JunDom1+6)</f>
        <v>43988</v>
      </c>
      <c r="I4" s="10">
        <f>IF(DAY(JunDom1)=1,JunDom1,JunDom1+7)</f>
        <v>43989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IF(DAY(JunDom1)=1,JunDom1+1,JunDom1+8)</f>
        <v>43990</v>
      </c>
      <c r="D5" s="10">
        <f>IF(DAY(JunDom1)=1,JunDom1+2,JunDom1+9)</f>
        <v>43991</v>
      </c>
      <c r="E5" s="10">
        <f>IF(DAY(JunDom1)=1,JunDom1+3,JunDom1+10)</f>
        <v>43992</v>
      </c>
      <c r="F5" s="10">
        <f>IF(DAY(JunDom1)=1,JunDom1+4,JunDom1+11)</f>
        <v>43993</v>
      </c>
      <c r="G5" s="10">
        <f>IF(DAY(JunDom1)=1,JunDom1+5,JunDom1+12)</f>
        <v>43994</v>
      </c>
      <c r="H5" s="10">
        <f>IF(DAY(JunDom1)=1,JunDom1+6,JunDom1+13)</f>
        <v>43995</v>
      </c>
      <c r="I5" s="10">
        <f>IF(DAY(JunDom1)=1,JunDom1+7,JunDom1+14)</f>
        <v>43996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IF(DAY(JunDom1)=1,JunDom1+8,JunDom1+15)</f>
        <v>43997</v>
      </c>
      <c r="D6" s="10">
        <f>IF(DAY(JunDom1)=1,JunDom1+9,JunDom1+16)</f>
        <v>43998</v>
      </c>
      <c r="E6" s="10">
        <f>IF(DAY(JunDom1)=1,JunDom1+10,JunDom1+17)</f>
        <v>43999</v>
      </c>
      <c r="F6" s="10">
        <f>IF(DAY(JunDom1)=1,JunDom1+11,JunDom1+18)</f>
        <v>44000</v>
      </c>
      <c r="G6" s="10">
        <f>IF(DAY(JunDom1)=1,JunDom1+12,JunDom1+19)</f>
        <v>44001</v>
      </c>
      <c r="H6" s="10">
        <f>IF(DAY(JunDom1)=1,JunDom1+13,JunDom1+20)</f>
        <v>44002</v>
      </c>
      <c r="I6" s="10">
        <f>IF(DAY(JunDom1)=1,JunDom1+14,JunDom1+21)</f>
        <v>44003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IF(DAY(JunDom1)=1,JunDom1+15,JunDom1+22)</f>
        <v>44004</v>
      </c>
      <c r="D7" s="10">
        <f>IF(DAY(JunDom1)=1,JunDom1+16,JunDom1+23)</f>
        <v>44005</v>
      </c>
      <c r="E7" s="10">
        <f>IF(DAY(JunDom1)=1,JunDom1+17,JunDom1+24)</f>
        <v>44006</v>
      </c>
      <c r="F7" s="10">
        <f>IF(DAY(JunDom1)=1,JunDom1+18,JunDom1+25)</f>
        <v>44007</v>
      </c>
      <c r="G7" s="10">
        <f>IF(DAY(JunDom1)=1,JunDom1+19,JunDom1+26)</f>
        <v>44008</v>
      </c>
      <c r="H7" s="10">
        <f>IF(DAY(JunDom1)=1,JunDom1+20,JunDom1+27)</f>
        <v>44009</v>
      </c>
      <c r="I7" s="10">
        <f>IF(DAY(JunDom1)=1,JunDom1+21,JunDom1+28)</f>
        <v>44010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IF(DAY(JunDom1)=1,JunDom1+22,JunDom1+29)</f>
        <v>44011</v>
      </c>
      <c r="D8" s="10">
        <f>IF(DAY(JunDom1)=1,JunDom1+23,JunDom1+30)</f>
        <v>44012</v>
      </c>
      <c r="E8" s="10">
        <f>IF(DAY(JunDom1)=1,JunDom1+24,JunDom1+31)</f>
        <v>44013</v>
      </c>
      <c r="F8" s="10">
        <f>IF(DAY(JunDom1)=1,JunDom1+25,JunDom1+32)</f>
        <v>44014</v>
      </c>
      <c r="G8" s="10">
        <f>IF(DAY(JunDom1)=1,JunDom1+26,JunDom1+33)</f>
        <v>44015</v>
      </c>
      <c r="H8" s="10">
        <f>IF(DAY(JunDom1)=1,JunDom1+27,JunDom1+34)</f>
        <v>44016</v>
      </c>
      <c r="I8" s="10">
        <f>IF(DAY(JunDom1)=1,JunDom1+28,JunDom1+35)</f>
        <v>44017</v>
      </c>
      <c r="J8" s="5"/>
      <c r="K8" s="11"/>
      <c r="L8" s="17"/>
      <c r="M8" s="37"/>
      <c r="N8" s="38"/>
    </row>
    <row r="9" spans="1:14" ht="49.5" customHeight="1" x14ac:dyDescent="0.2">
      <c r="A9" s="4"/>
      <c r="B9" s="40"/>
      <c r="C9" s="10">
        <f>IF(DAY(JunDom1)=1,JunDom1+29,JunDom1+36)</f>
        <v>44018</v>
      </c>
      <c r="D9" s="10">
        <f>IF(DAY(JunDom1)=1,JunDom1+30,JunDom1+37)</f>
        <v>44019</v>
      </c>
      <c r="E9" s="10">
        <f>IF(DAY(JunDom1)=1,JunDom1+31,JunDom1+38)</f>
        <v>44020</v>
      </c>
      <c r="F9" s="10">
        <f>IF(DAY(JunDom1)=1,JunDom1+32,JunDom1+39)</f>
        <v>44021</v>
      </c>
      <c r="G9" s="10">
        <f>IF(DAY(JunDom1)=1,JunDom1+33,JunDom1+40)</f>
        <v>44022</v>
      </c>
      <c r="H9" s="10">
        <f>IF(DAY(JunDom1)=1,JunDom1+34,JunDom1+41)</f>
        <v>44023</v>
      </c>
      <c r="I9" s="10">
        <f>IF(DAY(JunDom1)=1,JunDom1+35,JunDom1+42)</f>
        <v>44024</v>
      </c>
      <c r="J9" s="5"/>
      <c r="K9" s="12" t="s">
        <v>49</v>
      </c>
      <c r="L9" s="18"/>
      <c r="M9" s="93" t="s">
        <v>48</v>
      </c>
      <c r="N9" s="94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/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34" priority="4" stopIfTrue="1">
      <formula>DAY(C4)&gt;8</formula>
    </cfRule>
  </conditionalFormatting>
  <conditionalFormatting sqref="C8:I10">
    <cfRule type="expression" dxfId="33" priority="3" stopIfTrue="1">
      <formula>AND(DAY(C8)&gt;=1,DAY(C8)&lt;=15)</formula>
    </cfRule>
  </conditionalFormatting>
  <conditionalFormatting sqref="C4:I9">
    <cfRule type="expression" dxfId="32" priority="5">
      <formula>VLOOKUP(DAY(C4),DíasDeTareas,1,FALSE)=DAY(C4)</formula>
    </cfRule>
  </conditionalFormatting>
  <conditionalFormatting sqref="B14:J29 B33:J33">
    <cfRule type="expression" dxfId="31" priority="2">
      <formula>B14&lt;&gt;""</formula>
    </cfRule>
  </conditionalFormatting>
  <conditionalFormatting sqref="B30">
    <cfRule type="expression" dxfId="30" priority="1">
      <formula>B30&lt;&gt;""</formula>
    </cfRule>
  </conditionalFormatting>
  <printOptions horizontalCentered="1"/>
  <pageMargins left="0.5" right="0.5" top="0.5" bottom="0.5" header="0.3" footer="0.3"/>
  <pageSetup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1" sqref="M11:N1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20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IF(DAY(JulDom1)=1,JulDom1-6,JulDom1+1)</f>
        <v>44011</v>
      </c>
      <c r="D4" s="10">
        <f>IF(DAY(JulDom1)=1,JulDom1-5,JulDom1+2)</f>
        <v>44012</v>
      </c>
      <c r="E4" s="10">
        <f>IF(DAY(JulDom1)=1,JulDom1-4,JulDom1+3)</f>
        <v>44013</v>
      </c>
      <c r="F4" s="10">
        <f>IF(DAY(JulDom1)=1,JulDom1-3,JulDom1+4)</f>
        <v>44014</v>
      </c>
      <c r="G4" s="10">
        <f>IF(DAY(JulDom1)=1,JulDom1-2,JulDom1+5)</f>
        <v>44015</v>
      </c>
      <c r="H4" s="10">
        <f>IF(DAY(JulDom1)=1,JulDom1-1,JulDom1+6)</f>
        <v>44016</v>
      </c>
      <c r="I4" s="10">
        <f>IF(DAY(JulDom1)=1,JulDom1,JulDom1+7)</f>
        <v>44017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IF(DAY(JulDom1)=1,JulDom1+1,JulDom1+8)</f>
        <v>44018</v>
      </c>
      <c r="D5" s="10">
        <f>IF(DAY(JulDom1)=1,JulDom1+2,JulDom1+9)</f>
        <v>44019</v>
      </c>
      <c r="E5" s="10">
        <f>IF(DAY(JulDom1)=1,JulDom1+3,JulDom1+10)</f>
        <v>44020</v>
      </c>
      <c r="F5" s="10">
        <f>IF(DAY(JulDom1)=1,JulDom1+4,JulDom1+11)</f>
        <v>44021</v>
      </c>
      <c r="G5" s="10">
        <f>IF(DAY(JulDom1)=1,JulDom1+5,JulDom1+12)</f>
        <v>44022</v>
      </c>
      <c r="H5" s="10">
        <f>IF(DAY(JulDom1)=1,JulDom1+6,JulDom1+13)</f>
        <v>44023</v>
      </c>
      <c r="I5" s="10">
        <f>IF(DAY(JulDom1)=1,JulDom1+7,JulDom1+14)</f>
        <v>44024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IF(DAY(JulDom1)=1,JulDom1+8,JulDom1+15)</f>
        <v>44025</v>
      </c>
      <c r="D6" s="10">
        <f>IF(DAY(JulDom1)=1,JulDom1+9,JulDom1+16)</f>
        <v>44026</v>
      </c>
      <c r="E6" s="10">
        <f>IF(DAY(JulDom1)=1,JulDom1+10,JulDom1+17)</f>
        <v>44027</v>
      </c>
      <c r="F6" s="10">
        <f>IF(DAY(JulDom1)=1,JulDom1+11,JulDom1+18)</f>
        <v>44028</v>
      </c>
      <c r="G6" s="10">
        <f>IF(DAY(JulDom1)=1,JulDom1+12,JulDom1+19)</f>
        <v>44029</v>
      </c>
      <c r="H6" s="10">
        <f>IF(DAY(JulDom1)=1,JulDom1+13,JulDom1+20)</f>
        <v>44030</v>
      </c>
      <c r="I6" s="10">
        <f>IF(DAY(JulDom1)=1,JulDom1+14,JulDom1+21)</f>
        <v>44031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IF(DAY(JulDom1)=1,JulDom1+15,JulDom1+22)</f>
        <v>44032</v>
      </c>
      <c r="D7" s="10">
        <f>IF(DAY(JulDom1)=1,JulDom1+16,JulDom1+23)</f>
        <v>44033</v>
      </c>
      <c r="E7" s="10">
        <f>IF(DAY(JulDom1)=1,JulDom1+17,JulDom1+24)</f>
        <v>44034</v>
      </c>
      <c r="F7" s="10">
        <f>IF(DAY(JulDom1)=1,JulDom1+18,JulDom1+25)</f>
        <v>44035</v>
      </c>
      <c r="G7" s="10">
        <f>IF(DAY(JulDom1)=1,JulDom1+19,JulDom1+26)</f>
        <v>44036</v>
      </c>
      <c r="H7" s="10">
        <f>IF(DAY(JulDom1)=1,JulDom1+20,JulDom1+27)</f>
        <v>44037</v>
      </c>
      <c r="I7" s="10">
        <f>IF(DAY(JulDom1)=1,JulDom1+21,JulDom1+28)</f>
        <v>44038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IF(DAY(JulDom1)=1,JulDom1+22,JulDom1+29)</f>
        <v>44039</v>
      </c>
      <c r="D8" s="10">
        <f>IF(DAY(JulDom1)=1,JulDom1+23,JulDom1+30)</f>
        <v>44040</v>
      </c>
      <c r="E8" s="10">
        <f>IF(DAY(JulDom1)=1,JulDom1+24,JulDom1+31)</f>
        <v>44041</v>
      </c>
      <c r="F8" s="10">
        <f>IF(DAY(JulDom1)=1,JulDom1+25,JulDom1+32)</f>
        <v>44042</v>
      </c>
      <c r="G8" s="10">
        <f>IF(DAY(JulDom1)=1,JulDom1+26,JulDom1+33)</f>
        <v>44043</v>
      </c>
      <c r="H8" s="10">
        <f>IF(DAY(JulDom1)=1,JulDom1+27,JulDom1+34)</f>
        <v>44044</v>
      </c>
      <c r="I8" s="10">
        <f>IF(DAY(JulDom1)=1,JulDom1+28,JulDom1+35)</f>
        <v>44045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IF(DAY(JulDom1)=1,JulDom1+29,JulDom1+36)</f>
        <v>44046</v>
      </c>
      <c r="D9" s="10">
        <f>IF(DAY(JulDom1)=1,JulDom1+30,JulDom1+37)</f>
        <v>44047</v>
      </c>
      <c r="E9" s="10">
        <f>IF(DAY(JulDom1)=1,JulDom1+31,JulDom1+38)</f>
        <v>44048</v>
      </c>
      <c r="F9" s="10">
        <f>IF(DAY(JulDom1)=1,JulDom1+32,JulDom1+39)</f>
        <v>44049</v>
      </c>
      <c r="G9" s="10">
        <f>IF(DAY(JulDom1)=1,JulDom1+33,JulDom1+40)</f>
        <v>44050</v>
      </c>
      <c r="H9" s="10">
        <f>IF(DAY(JulDom1)=1,JulDom1+34,JulDom1+41)</f>
        <v>44051</v>
      </c>
      <c r="I9" s="10">
        <f>IF(DAY(JulDom1)=1,JulDom1+35,JulDom1+42)</f>
        <v>44052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 t="s">
        <v>50</v>
      </c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9" priority="4" stopIfTrue="1">
      <formula>DAY(C4)&gt;8</formula>
    </cfRule>
  </conditionalFormatting>
  <conditionalFormatting sqref="C8:I10">
    <cfRule type="expression" dxfId="28" priority="3" stopIfTrue="1">
      <formula>AND(DAY(C8)&gt;=1,DAY(C8)&lt;=15)</formula>
    </cfRule>
  </conditionalFormatting>
  <conditionalFormatting sqref="C4:I9">
    <cfRule type="expression" dxfId="27" priority="5">
      <formula>VLOOKUP(DAY(C4),DíasDeTareas,1,FALSE)=DAY(C4)</formula>
    </cfRule>
  </conditionalFormatting>
  <conditionalFormatting sqref="B14:J29 B33:J33">
    <cfRule type="expression" dxfId="26" priority="2">
      <formula>B14&lt;&gt;""</formula>
    </cfRule>
  </conditionalFormatting>
  <conditionalFormatting sqref="B30">
    <cfRule type="expression" dxfId="2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11" sqref="M11:N11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>
      <c r="A1" s="2"/>
      <c r="B1" s="2"/>
      <c r="C1" s="2"/>
      <c r="D1" s="2"/>
      <c r="E1" s="2"/>
      <c r="F1" s="2"/>
      <c r="G1" s="2"/>
    </row>
    <row r="2" spans="1:14" ht="18" customHeight="1" x14ac:dyDescent="0.2">
      <c r="A2" s="4"/>
      <c r="B2" s="39" t="s">
        <v>19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IF(DAY(AgoDom1)=1,AgoDom1-6,AgoDom1+1)</f>
        <v>44039</v>
      </c>
      <c r="D4" s="10">
        <f>IF(DAY(AgoDom1)=1,AgoDom1-5,AgoDom1+2)</f>
        <v>44040</v>
      </c>
      <c r="E4" s="10">
        <f>IF(DAY(AgoDom1)=1,AgoDom1-4,AgoDom1+3)</f>
        <v>44041</v>
      </c>
      <c r="F4" s="10">
        <f>IF(DAY(AgoDom1)=1,AgoDom1-3,AgoDom1+4)</f>
        <v>44042</v>
      </c>
      <c r="G4" s="10">
        <f>IF(DAY(AgoDom1)=1,AgoDom1-2,AgoDom1+5)</f>
        <v>44043</v>
      </c>
      <c r="H4" s="10">
        <f>IF(DAY(AgoDom1)=1,AgoDom1-1,AgoDom1+6)</f>
        <v>44044</v>
      </c>
      <c r="I4" s="10">
        <f>IF(DAY(AgoDom1)=1,AgoDom1,AgoDom1+7)</f>
        <v>44045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IF(DAY(AgoDom1)=1,AgoDom1+1,AgoDom1+8)</f>
        <v>44046</v>
      </c>
      <c r="D5" s="10">
        <f>IF(DAY(AgoDom1)=1,AgoDom1+2,AgoDom1+9)</f>
        <v>44047</v>
      </c>
      <c r="E5" s="10">
        <f>IF(DAY(AgoDom1)=1,AgoDom1+3,AgoDom1+10)</f>
        <v>44048</v>
      </c>
      <c r="F5" s="10">
        <f>IF(DAY(AgoDom1)=1,AgoDom1+4,AgoDom1+11)</f>
        <v>44049</v>
      </c>
      <c r="G5" s="10">
        <f>IF(DAY(AgoDom1)=1,AgoDom1+5,AgoDom1+12)</f>
        <v>44050</v>
      </c>
      <c r="H5" s="10">
        <f>IF(DAY(AgoDom1)=1,AgoDom1+6,AgoDom1+13)</f>
        <v>44051</v>
      </c>
      <c r="I5" s="10">
        <f>IF(DAY(AgoDom1)=1,AgoDom1+7,AgoDom1+14)</f>
        <v>44052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IF(DAY(AgoDom1)=1,AgoDom1+8,AgoDom1+15)</f>
        <v>44053</v>
      </c>
      <c r="D6" s="10">
        <f>IF(DAY(AgoDom1)=1,AgoDom1+9,AgoDom1+16)</f>
        <v>44054</v>
      </c>
      <c r="E6" s="10">
        <f>IF(DAY(AgoDom1)=1,AgoDom1+10,AgoDom1+17)</f>
        <v>44055</v>
      </c>
      <c r="F6" s="10">
        <f>IF(DAY(AgoDom1)=1,AgoDom1+11,AgoDom1+18)</f>
        <v>44056</v>
      </c>
      <c r="G6" s="10">
        <f>IF(DAY(AgoDom1)=1,AgoDom1+12,AgoDom1+19)</f>
        <v>44057</v>
      </c>
      <c r="H6" s="10">
        <f>IF(DAY(AgoDom1)=1,AgoDom1+13,AgoDom1+20)</f>
        <v>44058</v>
      </c>
      <c r="I6" s="10">
        <f>IF(DAY(AgoDom1)=1,AgoDom1+14,AgoDom1+21)</f>
        <v>44059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IF(DAY(AgoDom1)=1,AgoDom1+15,AgoDom1+22)</f>
        <v>44060</v>
      </c>
      <c r="D7" s="10">
        <f>IF(DAY(AgoDom1)=1,AgoDom1+16,AgoDom1+23)</f>
        <v>44061</v>
      </c>
      <c r="E7" s="10">
        <f>IF(DAY(AgoDom1)=1,AgoDom1+17,AgoDom1+24)</f>
        <v>44062</v>
      </c>
      <c r="F7" s="10">
        <f>IF(DAY(AgoDom1)=1,AgoDom1+18,AgoDom1+25)</f>
        <v>44063</v>
      </c>
      <c r="G7" s="10">
        <f>IF(DAY(AgoDom1)=1,AgoDom1+19,AgoDom1+26)</f>
        <v>44064</v>
      </c>
      <c r="H7" s="10">
        <f>IF(DAY(AgoDom1)=1,AgoDom1+20,AgoDom1+27)</f>
        <v>44065</v>
      </c>
      <c r="I7" s="10">
        <f>IF(DAY(AgoDom1)=1,AgoDom1+21,AgoDom1+28)</f>
        <v>44066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IF(DAY(AgoDom1)=1,AgoDom1+22,AgoDom1+29)</f>
        <v>44067</v>
      </c>
      <c r="D8" s="10">
        <f>IF(DAY(AgoDom1)=1,AgoDom1+23,AgoDom1+30)</f>
        <v>44068</v>
      </c>
      <c r="E8" s="10">
        <f>IF(DAY(AgoDom1)=1,AgoDom1+24,AgoDom1+31)</f>
        <v>44069</v>
      </c>
      <c r="F8" s="10">
        <f>IF(DAY(AgoDom1)=1,AgoDom1+25,AgoDom1+32)</f>
        <v>44070</v>
      </c>
      <c r="G8" s="10">
        <f>IF(DAY(AgoDom1)=1,AgoDom1+26,AgoDom1+33)</f>
        <v>44071</v>
      </c>
      <c r="H8" s="10">
        <f>IF(DAY(AgoDom1)=1,AgoDom1+27,AgoDom1+34)</f>
        <v>44072</v>
      </c>
      <c r="I8" s="10">
        <f>IF(DAY(AgoDom1)=1,AgoDom1+28,AgoDom1+35)</f>
        <v>44073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IF(DAY(AgoDom1)=1,AgoDom1+29,AgoDom1+36)</f>
        <v>44074</v>
      </c>
      <c r="D9" s="10">
        <f>IF(DAY(AgoDom1)=1,AgoDom1+30,AgoDom1+37)</f>
        <v>44075</v>
      </c>
      <c r="E9" s="10">
        <f>IF(DAY(AgoDom1)=1,AgoDom1+31,AgoDom1+38)</f>
        <v>44076</v>
      </c>
      <c r="F9" s="10">
        <f>IF(DAY(AgoDom1)=1,AgoDom1+32,AgoDom1+39)</f>
        <v>44077</v>
      </c>
      <c r="G9" s="10">
        <f>IF(DAY(AgoDom1)=1,AgoDom1+33,AgoDom1+40)</f>
        <v>44078</v>
      </c>
      <c r="H9" s="10">
        <f>IF(DAY(AgoDom1)=1,AgoDom1+34,AgoDom1+41)</f>
        <v>44079</v>
      </c>
      <c r="I9" s="10">
        <f>IF(DAY(AgoDom1)=1,AgoDom1+35,AgoDom1+42)</f>
        <v>44080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 t="s">
        <v>50</v>
      </c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24" priority="4" stopIfTrue="1">
      <formula>DAY(C4)&gt;8</formula>
    </cfRule>
  </conditionalFormatting>
  <conditionalFormatting sqref="C8:I10">
    <cfRule type="expression" dxfId="23" priority="3" stopIfTrue="1">
      <formula>AND(DAY(C8)&gt;=1,DAY(C8)&lt;=15)</formula>
    </cfRule>
  </conditionalFormatting>
  <conditionalFormatting sqref="C4:I9">
    <cfRule type="expression" dxfId="22" priority="5">
      <formula>VLOOKUP(DAY(C4),DíasDeTareas,1,FALSE)=DAY(C4)</formula>
    </cfRule>
  </conditionalFormatting>
  <conditionalFormatting sqref="B14:J29 B33:J33">
    <cfRule type="expression" dxfId="21" priority="2">
      <formula>B14&lt;&gt;""</formula>
    </cfRule>
  </conditionalFormatting>
  <conditionalFormatting sqref="B30">
    <cfRule type="expression" dxfId="20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O33"/>
  <sheetViews>
    <sheetView showGridLines="0" zoomScaleNormal="100" zoomScalePageLayoutView="84" workbookViewId="0">
      <selection activeCell="M29" sqref="M29:N29"/>
    </sheetView>
  </sheetViews>
  <sheetFormatPr baseColWidth="10" defaultColWidth="8.7109375" defaultRowHeight="16.5" customHeight="1" x14ac:dyDescent="0.2"/>
  <cols>
    <col min="1" max="1" width="2.28515625" style="1" customWidth="1"/>
    <col min="2" max="2" width="12.7109375" style="1" customWidth="1"/>
    <col min="3" max="10" width="6.7109375" style="1" customWidth="1"/>
    <col min="11" max="11" width="7.28515625" style="1" customWidth="1"/>
    <col min="12" max="12" width="3.85546875" customWidth="1"/>
    <col min="13" max="13" width="51.42578125" style="1" customWidth="1"/>
    <col min="14" max="14" width="10.7109375" style="1" customWidth="1"/>
    <col min="15" max="15" width="2.28515625" customWidth="1"/>
    <col min="16" max="22" width="8.85546875" customWidth="1"/>
    <col min="42" max="16384" width="8.7109375" style="1"/>
  </cols>
  <sheetData>
    <row r="1" spans="1:14" ht="11.25" customHeight="1" x14ac:dyDescent="0.2"/>
    <row r="2" spans="1:14" ht="18" customHeight="1" x14ac:dyDescent="0.2">
      <c r="A2" s="4"/>
      <c r="B2" s="39" t="s">
        <v>18</v>
      </c>
      <c r="C2" s="21"/>
      <c r="D2" s="21"/>
      <c r="E2" s="21"/>
      <c r="F2" s="21"/>
      <c r="G2" s="21"/>
      <c r="H2" s="21"/>
      <c r="I2" s="21"/>
      <c r="J2" s="22"/>
      <c r="K2" s="77" t="s">
        <v>2</v>
      </c>
      <c r="L2" s="78">
        <v>2013</v>
      </c>
      <c r="M2" s="78"/>
      <c r="N2" s="25"/>
    </row>
    <row r="3" spans="1:14" ht="21" customHeight="1" x14ac:dyDescent="0.2">
      <c r="A3" s="4"/>
      <c r="B3" s="40"/>
      <c r="C3" s="2" t="s">
        <v>4</v>
      </c>
      <c r="D3" s="2" t="s">
        <v>1</v>
      </c>
      <c r="E3" s="2" t="s">
        <v>5</v>
      </c>
      <c r="F3" s="2" t="s">
        <v>6</v>
      </c>
      <c r="G3" s="2" t="s">
        <v>7</v>
      </c>
      <c r="H3" s="2" t="s">
        <v>0</v>
      </c>
      <c r="I3" s="2" t="s">
        <v>8</v>
      </c>
      <c r="J3" s="5"/>
      <c r="K3" s="79"/>
      <c r="L3" s="80"/>
      <c r="M3" s="80"/>
      <c r="N3" s="26"/>
    </row>
    <row r="4" spans="1:14" ht="18" customHeight="1" x14ac:dyDescent="0.2">
      <c r="A4" s="4"/>
      <c r="B4" s="40"/>
      <c r="C4" s="10">
        <f>IF(DAY(SepDom1)=1,SepDom1-6,SepDom1+1)</f>
        <v>44074</v>
      </c>
      <c r="D4" s="10">
        <f>IF(DAY(SepDom1)=1,SepDom1-5,SepDom1+2)</f>
        <v>44075</v>
      </c>
      <c r="E4" s="10">
        <f>IF(DAY(SepDom1)=1,SepDom1-4,SepDom1+3)</f>
        <v>44076</v>
      </c>
      <c r="F4" s="10">
        <f>IF(DAY(SepDom1)=1,SepDom1-3,SepDom1+4)</f>
        <v>44077</v>
      </c>
      <c r="G4" s="10">
        <f>IF(DAY(SepDom1)=1,SepDom1-2,SepDom1+5)</f>
        <v>44078</v>
      </c>
      <c r="H4" s="10">
        <f>IF(DAY(SepDom1)=1,SepDom1-1,SepDom1+6)</f>
        <v>44079</v>
      </c>
      <c r="I4" s="10">
        <f>IF(DAY(SepDom1)=1,SepDom1,SepDom1+7)</f>
        <v>44080</v>
      </c>
      <c r="J4" s="5"/>
      <c r="K4" s="81" t="s">
        <v>11</v>
      </c>
      <c r="L4" s="16"/>
      <c r="M4" s="82"/>
      <c r="N4" s="83"/>
    </row>
    <row r="5" spans="1:14" ht="18" customHeight="1" x14ac:dyDescent="0.2">
      <c r="A5" s="4"/>
      <c r="B5" s="40"/>
      <c r="C5" s="10">
        <f>IF(DAY(SepDom1)=1,SepDom1+1,SepDom1+8)</f>
        <v>44081</v>
      </c>
      <c r="D5" s="10">
        <f>IF(DAY(SepDom1)=1,SepDom1+2,SepDom1+9)</f>
        <v>44082</v>
      </c>
      <c r="E5" s="10">
        <f>IF(DAY(SepDom1)=1,SepDom1+3,SepDom1+10)</f>
        <v>44083</v>
      </c>
      <c r="F5" s="10">
        <f>IF(DAY(SepDom1)=1,SepDom1+4,SepDom1+11)</f>
        <v>44084</v>
      </c>
      <c r="G5" s="10">
        <f>IF(DAY(SepDom1)=1,SepDom1+5,SepDom1+12)</f>
        <v>44085</v>
      </c>
      <c r="H5" s="10">
        <f>IF(DAY(SepDom1)=1,SepDom1+6,SepDom1+13)</f>
        <v>44086</v>
      </c>
      <c r="I5" s="10">
        <f>IF(DAY(SepDom1)=1,SepDom1+7,SepDom1+14)</f>
        <v>44087</v>
      </c>
      <c r="J5" s="5"/>
      <c r="K5" s="70"/>
      <c r="L5" s="17"/>
      <c r="M5" s="37"/>
      <c r="N5" s="38"/>
    </row>
    <row r="6" spans="1:14" ht="18" customHeight="1" x14ac:dyDescent="0.2">
      <c r="A6" s="4"/>
      <c r="B6" s="40"/>
      <c r="C6" s="10">
        <f>IF(DAY(SepDom1)=1,SepDom1+8,SepDom1+15)</f>
        <v>44088</v>
      </c>
      <c r="D6" s="10">
        <f>IF(DAY(SepDom1)=1,SepDom1+9,SepDom1+16)</f>
        <v>44089</v>
      </c>
      <c r="E6" s="10">
        <f>IF(DAY(SepDom1)=1,SepDom1+10,SepDom1+17)</f>
        <v>44090</v>
      </c>
      <c r="F6" s="10">
        <f>IF(DAY(SepDom1)=1,SepDom1+11,SepDom1+18)</f>
        <v>44091</v>
      </c>
      <c r="G6" s="10">
        <f>IF(DAY(SepDom1)=1,SepDom1+12,SepDom1+19)</f>
        <v>44092</v>
      </c>
      <c r="H6" s="10">
        <f>IF(DAY(SepDom1)=1,SepDom1+13,SepDom1+20)</f>
        <v>44093</v>
      </c>
      <c r="I6" s="10">
        <f>IF(DAY(SepDom1)=1,SepDom1+14,SepDom1+21)</f>
        <v>44094</v>
      </c>
      <c r="J6" s="5"/>
      <c r="K6" s="70"/>
      <c r="L6" s="17"/>
      <c r="M6" s="37"/>
      <c r="N6" s="38"/>
    </row>
    <row r="7" spans="1:14" ht="18" customHeight="1" x14ac:dyDescent="0.2">
      <c r="A7" s="4"/>
      <c r="B7" s="40"/>
      <c r="C7" s="10">
        <f>IF(DAY(SepDom1)=1,SepDom1+15,SepDom1+22)</f>
        <v>44095</v>
      </c>
      <c r="D7" s="10">
        <f>IF(DAY(SepDom1)=1,SepDom1+16,SepDom1+23)</f>
        <v>44096</v>
      </c>
      <c r="E7" s="10">
        <f>IF(DAY(SepDom1)=1,SepDom1+17,SepDom1+24)</f>
        <v>44097</v>
      </c>
      <c r="F7" s="10">
        <f>IF(DAY(SepDom1)=1,SepDom1+18,SepDom1+25)</f>
        <v>44098</v>
      </c>
      <c r="G7" s="10">
        <f>IF(DAY(SepDom1)=1,SepDom1+19,SepDom1+26)</f>
        <v>44099</v>
      </c>
      <c r="H7" s="10">
        <f>IF(DAY(SepDom1)=1,SepDom1+20,SepDom1+27)</f>
        <v>44100</v>
      </c>
      <c r="I7" s="10">
        <f>IF(DAY(SepDom1)=1,SepDom1+21,SepDom1+28)</f>
        <v>44101</v>
      </c>
      <c r="J7" s="5"/>
      <c r="K7" s="11"/>
      <c r="L7" s="17"/>
      <c r="M7" s="37"/>
      <c r="N7" s="38"/>
    </row>
    <row r="8" spans="1:14" ht="18.75" customHeight="1" x14ac:dyDescent="0.2">
      <c r="A8" s="4"/>
      <c r="B8" s="40"/>
      <c r="C8" s="10">
        <f>IF(DAY(SepDom1)=1,SepDom1+22,SepDom1+29)</f>
        <v>44102</v>
      </c>
      <c r="D8" s="10">
        <f>IF(DAY(SepDom1)=1,SepDom1+23,SepDom1+30)</f>
        <v>44103</v>
      </c>
      <c r="E8" s="10">
        <f>IF(DAY(SepDom1)=1,SepDom1+24,SepDom1+31)</f>
        <v>44104</v>
      </c>
      <c r="F8" s="10">
        <f>IF(DAY(SepDom1)=1,SepDom1+25,SepDom1+32)</f>
        <v>44105</v>
      </c>
      <c r="G8" s="10">
        <f>IF(DAY(SepDom1)=1,SepDom1+26,SepDom1+33)</f>
        <v>44106</v>
      </c>
      <c r="H8" s="10">
        <f>IF(DAY(SepDom1)=1,SepDom1+27,SepDom1+34)</f>
        <v>44107</v>
      </c>
      <c r="I8" s="10">
        <f>IF(DAY(SepDom1)=1,SepDom1+28,SepDom1+35)</f>
        <v>44108</v>
      </c>
      <c r="J8" s="5"/>
      <c r="K8" s="11"/>
      <c r="L8" s="17"/>
      <c r="M8" s="37"/>
      <c r="N8" s="38"/>
    </row>
    <row r="9" spans="1:14" ht="18" customHeight="1" x14ac:dyDescent="0.2">
      <c r="A9" s="4"/>
      <c r="B9" s="40"/>
      <c r="C9" s="10">
        <f>IF(DAY(SepDom1)=1,SepDom1+29,SepDom1+36)</f>
        <v>44109</v>
      </c>
      <c r="D9" s="10">
        <f>IF(DAY(SepDom1)=1,SepDom1+30,SepDom1+37)</f>
        <v>44110</v>
      </c>
      <c r="E9" s="10">
        <f>IF(DAY(SepDom1)=1,SepDom1+31,SepDom1+38)</f>
        <v>44111</v>
      </c>
      <c r="F9" s="10">
        <f>IF(DAY(SepDom1)=1,SepDom1+32,SepDom1+39)</f>
        <v>44112</v>
      </c>
      <c r="G9" s="10">
        <f>IF(DAY(SepDom1)=1,SepDom1+33,SepDom1+40)</f>
        <v>44113</v>
      </c>
      <c r="H9" s="10">
        <f>IF(DAY(SepDom1)=1,SepDom1+34,SepDom1+41)</f>
        <v>44114</v>
      </c>
      <c r="I9" s="10">
        <f>IF(DAY(SepDom1)=1,SepDom1+35,SepDom1+42)</f>
        <v>44115</v>
      </c>
      <c r="J9" s="5"/>
      <c r="K9" s="12"/>
      <c r="L9" s="18"/>
      <c r="M9" s="31"/>
      <c r="N9" s="32"/>
    </row>
    <row r="10" spans="1:14" ht="18" customHeight="1" x14ac:dyDescent="0.2">
      <c r="A10" s="4"/>
      <c r="B10" s="41"/>
      <c r="C10" s="23"/>
      <c r="D10" s="23"/>
      <c r="E10" s="23"/>
      <c r="F10" s="23"/>
      <c r="G10" s="23"/>
      <c r="H10" s="23"/>
      <c r="I10" s="23"/>
      <c r="J10" s="24"/>
      <c r="K10" s="69" t="s">
        <v>12</v>
      </c>
      <c r="L10" s="16"/>
      <c r="M10" s="33"/>
      <c r="N10" s="34"/>
    </row>
    <row r="11" spans="1:14" ht="18" customHeight="1" x14ac:dyDescent="0.2">
      <c r="A11" s="4"/>
      <c r="B11" s="42" t="s">
        <v>10</v>
      </c>
      <c r="C11" s="43"/>
      <c r="D11" s="43"/>
      <c r="E11" s="43"/>
      <c r="F11" s="43"/>
      <c r="G11" s="43"/>
      <c r="H11" s="43"/>
      <c r="I11" s="43"/>
      <c r="J11" s="44"/>
      <c r="K11" s="70"/>
      <c r="L11" s="17"/>
      <c r="M11" s="37" t="s">
        <v>50</v>
      </c>
      <c r="N11" s="38"/>
    </row>
    <row r="12" spans="1:14" ht="18" customHeight="1" x14ac:dyDescent="0.2">
      <c r="A12" s="4"/>
      <c r="B12" s="42"/>
      <c r="C12" s="43"/>
      <c r="D12" s="43"/>
      <c r="E12" s="43"/>
      <c r="F12" s="43"/>
      <c r="G12" s="43"/>
      <c r="H12" s="43"/>
      <c r="I12" s="43"/>
      <c r="J12" s="44"/>
      <c r="K12" s="70"/>
      <c r="L12" s="17"/>
      <c r="M12" s="37"/>
      <c r="N12" s="38"/>
    </row>
    <row r="13" spans="1:14" ht="18" customHeight="1" x14ac:dyDescent="0.2">
      <c r="B13" s="3" t="s">
        <v>11</v>
      </c>
      <c r="C13" s="71" t="s">
        <v>12</v>
      </c>
      <c r="D13" s="73"/>
      <c r="E13" s="71" t="s">
        <v>13</v>
      </c>
      <c r="F13" s="73"/>
      <c r="G13" s="71" t="s">
        <v>14</v>
      </c>
      <c r="H13" s="73"/>
      <c r="I13" s="71" t="s">
        <v>15</v>
      </c>
      <c r="J13" s="72"/>
      <c r="K13" s="11"/>
      <c r="L13" s="17"/>
      <c r="M13" s="37"/>
      <c r="N13" s="38"/>
    </row>
    <row r="14" spans="1:14" ht="18" customHeight="1" x14ac:dyDescent="0.2">
      <c r="B14" s="8"/>
      <c r="C14" s="45"/>
      <c r="D14" s="49"/>
      <c r="E14" s="45"/>
      <c r="F14" s="49"/>
      <c r="G14" s="45"/>
      <c r="H14" s="49"/>
      <c r="I14" s="45"/>
      <c r="J14" s="46"/>
      <c r="K14" s="11"/>
      <c r="L14" s="17"/>
      <c r="M14" s="37"/>
      <c r="N14" s="38"/>
    </row>
    <row r="15" spans="1:14" ht="18" customHeight="1" x14ac:dyDescent="0.2">
      <c r="B15" s="6"/>
      <c r="C15" s="50"/>
      <c r="D15" s="51"/>
      <c r="E15" s="50"/>
      <c r="F15" s="51"/>
      <c r="G15" s="50"/>
      <c r="H15" s="51"/>
      <c r="I15" s="52"/>
      <c r="J15" s="53"/>
      <c r="K15" s="13"/>
      <c r="L15" s="19"/>
      <c r="M15" s="31"/>
      <c r="N15" s="32"/>
    </row>
    <row r="16" spans="1:14" ht="18" customHeight="1" x14ac:dyDescent="0.2">
      <c r="B16" s="8"/>
      <c r="C16" s="45"/>
      <c r="D16" s="49"/>
      <c r="E16" s="45"/>
      <c r="F16" s="49"/>
      <c r="G16" s="45"/>
      <c r="H16" s="49"/>
      <c r="I16" s="54"/>
      <c r="J16" s="55"/>
      <c r="K16" s="86" t="s">
        <v>13</v>
      </c>
      <c r="L16" s="16"/>
      <c r="M16" s="33"/>
      <c r="N16" s="34"/>
    </row>
    <row r="17" spans="2:14" ht="18" customHeight="1" x14ac:dyDescent="0.2">
      <c r="B17" s="6"/>
      <c r="C17" s="50"/>
      <c r="D17" s="51"/>
      <c r="E17" s="50"/>
      <c r="F17" s="51"/>
      <c r="G17" s="50"/>
      <c r="H17" s="51"/>
      <c r="I17" s="52"/>
      <c r="J17" s="53"/>
      <c r="K17" s="87"/>
      <c r="L17" s="17"/>
      <c r="M17" s="37"/>
      <c r="N17" s="38"/>
    </row>
    <row r="18" spans="2:14" ht="18" customHeight="1" x14ac:dyDescent="0.2">
      <c r="B18" s="9"/>
      <c r="C18" s="56"/>
      <c r="D18" s="57"/>
      <c r="E18" s="56"/>
      <c r="F18" s="57"/>
      <c r="G18" s="56"/>
      <c r="H18" s="57"/>
      <c r="I18" s="56"/>
      <c r="J18" s="74"/>
      <c r="K18" s="87"/>
      <c r="L18" s="17"/>
      <c r="M18" s="37"/>
      <c r="N18" s="38"/>
    </row>
    <row r="19" spans="2:14" ht="18" customHeight="1" x14ac:dyDescent="0.2">
      <c r="B19" s="6"/>
      <c r="C19" s="50"/>
      <c r="D19" s="51"/>
      <c r="E19" s="50"/>
      <c r="F19" s="51"/>
      <c r="G19" s="50"/>
      <c r="H19" s="51"/>
      <c r="I19" s="52"/>
      <c r="J19" s="53"/>
      <c r="K19" s="11"/>
      <c r="L19" s="17"/>
      <c r="M19" s="37"/>
      <c r="N19" s="38"/>
    </row>
    <row r="20" spans="2:14" ht="18" customHeight="1" x14ac:dyDescent="0.2">
      <c r="B20" s="8"/>
      <c r="C20" s="45"/>
      <c r="D20" s="49"/>
      <c r="E20" s="45"/>
      <c r="F20" s="49"/>
      <c r="G20" s="45"/>
      <c r="H20" s="49"/>
      <c r="I20" s="45"/>
      <c r="J20" s="46"/>
      <c r="K20" s="11"/>
      <c r="L20" s="17"/>
      <c r="M20" s="37"/>
      <c r="N20" s="38"/>
    </row>
    <row r="21" spans="2:14" ht="18" customHeight="1" x14ac:dyDescent="0.2">
      <c r="B21" s="6"/>
      <c r="C21" s="50"/>
      <c r="D21" s="51"/>
      <c r="E21" s="50"/>
      <c r="F21" s="51"/>
      <c r="G21" s="50"/>
      <c r="H21" s="51"/>
      <c r="I21" s="47"/>
      <c r="J21" s="48"/>
      <c r="K21" s="13"/>
      <c r="L21" s="19"/>
      <c r="M21" s="31"/>
      <c r="N21" s="32"/>
    </row>
    <row r="22" spans="2:14" ht="18" customHeight="1" x14ac:dyDescent="0.2">
      <c r="B22" s="8"/>
      <c r="C22" s="45"/>
      <c r="D22" s="49"/>
      <c r="E22" s="45"/>
      <c r="F22" s="49"/>
      <c r="G22" s="45"/>
      <c r="H22" s="49"/>
      <c r="I22" s="45"/>
      <c r="J22" s="46"/>
      <c r="K22" s="86" t="s">
        <v>14</v>
      </c>
      <c r="L22" s="16"/>
      <c r="M22" s="33"/>
      <c r="N22" s="34"/>
    </row>
    <row r="23" spans="2:14" ht="18" customHeight="1" x14ac:dyDescent="0.2">
      <c r="B23" s="6"/>
      <c r="C23" s="50"/>
      <c r="D23" s="51"/>
      <c r="E23" s="50"/>
      <c r="F23" s="51"/>
      <c r="G23" s="50"/>
      <c r="H23" s="51"/>
      <c r="I23" s="52"/>
      <c r="J23" s="53"/>
      <c r="K23" s="87"/>
      <c r="L23" s="17"/>
      <c r="M23" s="37"/>
      <c r="N23" s="38"/>
    </row>
    <row r="24" spans="2:14" ht="18" customHeight="1" x14ac:dyDescent="0.2">
      <c r="B24" s="8"/>
      <c r="C24" s="45"/>
      <c r="D24" s="49"/>
      <c r="E24" s="45"/>
      <c r="F24" s="49"/>
      <c r="G24" s="45"/>
      <c r="H24" s="49"/>
      <c r="I24" s="45"/>
      <c r="J24" s="46"/>
      <c r="K24" s="87"/>
      <c r="L24" s="17"/>
      <c r="M24" s="37"/>
      <c r="N24" s="38"/>
    </row>
    <row r="25" spans="2:14" ht="18" customHeight="1" x14ac:dyDescent="0.2">
      <c r="B25" s="6"/>
      <c r="C25" s="50"/>
      <c r="D25" s="51"/>
      <c r="E25" s="50"/>
      <c r="F25" s="51"/>
      <c r="G25" s="50"/>
      <c r="H25" s="51"/>
      <c r="I25" s="52"/>
      <c r="J25" s="53"/>
      <c r="K25" s="87"/>
      <c r="L25" s="17"/>
      <c r="M25" s="37"/>
      <c r="N25" s="38"/>
    </row>
    <row r="26" spans="2:14" ht="18" customHeight="1" x14ac:dyDescent="0.2">
      <c r="B26" s="8"/>
      <c r="C26" s="45"/>
      <c r="D26" s="49"/>
      <c r="E26" s="45"/>
      <c r="F26" s="49"/>
      <c r="G26" s="45"/>
      <c r="H26" s="49"/>
      <c r="I26" s="45"/>
      <c r="J26" s="46"/>
      <c r="K26" s="11"/>
      <c r="L26" s="17"/>
      <c r="M26" s="37"/>
      <c r="N26" s="38"/>
    </row>
    <row r="27" spans="2:14" ht="18" customHeight="1" x14ac:dyDescent="0.2">
      <c r="B27" s="6"/>
      <c r="C27" s="50"/>
      <c r="D27" s="51"/>
      <c r="E27" s="50"/>
      <c r="F27" s="51"/>
      <c r="G27" s="50"/>
      <c r="H27" s="51"/>
      <c r="I27" s="52"/>
      <c r="J27" s="53"/>
      <c r="K27" s="13"/>
      <c r="L27" s="19"/>
      <c r="M27" s="31"/>
      <c r="N27" s="32"/>
    </row>
    <row r="28" spans="2:14" ht="18" customHeight="1" x14ac:dyDescent="0.2">
      <c r="B28" s="8"/>
      <c r="C28" s="45"/>
      <c r="D28" s="49"/>
      <c r="E28" s="45"/>
      <c r="F28" s="49"/>
      <c r="G28" s="45"/>
      <c r="H28" s="49"/>
      <c r="I28" s="45"/>
      <c r="J28" s="46"/>
      <c r="K28" s="69" t="s">
        <v>15</v>
      </c>
      <c r="L28" s="16"/>
      <c r="M28" s="33"/>
      <c r="N28" s="34"/>
    </row>
    <row r="29" spans="2:14" ht="18" customHeight="1" x14ac:dyDescent="0.2">
      <c r="B29" s="6"/>
      <c r="C29" s="50"/>
      <c r="D29" s="51"/>
      <c r="E29" s="50"/>
      <c r="F29" s="51"/>
      <c r="G29" s="50"/>
      <c r="H29" s="51"/>
      <c r="I29" s="50"/>
      <c r="J29" s="68"/>
      <c r="K29" s="70"/>
      <c r="L29" s="17"/>
      <c r="M29" s="37"/>
      <c r="N29" s="38"/>
    </row>
    <row r="30" spans="2:14" ht="18" customHeight="1" x14ac:dyDescent="0.2">
      <c r="B30" s="60" t="s">
        <v>26</v>
      </c>
      <c r="C30" s="61"/>
      <c r="D30" s="61"/>
      <c r="E30" s="61"/>
      <c r="F30" s="61"/>
      <c r="G30" s="61"/>
      <c r="H30" s="61"/>
      <c r="I30" s="61"/>
      <c r="J30" s="62"/>
      <c r="K30" s="70"/>
      <c r="L30" s="17"/>
      <c r="M30" s="37"/>
      <c r="N30" s="38"/>
    </row>
    <row r="31" spans="2:14" ht="18" customHeight="1" x14ac:dyDescent="0.2">
      <c r="B31" s="63"/>
      <c r="C31" s="64"/>
      <c r="D31" s="64"/>
      <c r="E31" s="64"/>
      <c r="F31" s="64"/>
      <c r="G31" s="64"/>
      <c r="H31" s="64"/>
      <c r="I31" s="64"/>
      <c r="J31" s="65"/>
      <c r="K31" s="14"/>
      <c r="L31" s="17"/>
      <c r="M31" s="37"/>
      <c r="N31" s="38"/>
    </row>
    <row r="32" spans="2:14" ht="18" customHeight="1" x14ac:dyDescent="0.2">
      <c r="B32" s="63"/>
      <c r="C32" s="64"/>
      <c r="D32" s="64"/>
      <c r="E32" s="64"/>
      <c r="F32" s="64"/>
      <c r="G32" s="64"/>
      <c r="H32" s="64"/>
      <c r="I32" s="64"/>
      <c r="J32" s="65"/>
      <c r="K32" s="14"/>
      <c r="L32" s="17"/>
      <c r="M32" s="37"/>
      <c r="N32" s="38"/>
    </row>
    <row r="33" spans="2:14" ht="18" customHeight="1" x14ac:dyDescent="0.2">
      <c r="B33" s="7"/>
      <c r="C33" s="58"/>
      <c r="D33" s="59"/>
      <c r="E33" s="58"/>
      <c r="F33" s="59"/>
      <c r="G33" s="58"/>
      <c r="H33" s="59"/>
      <c r="I33" s="66"/>
      <c r="J33" s="67"/>
      <c r="K33" s="15"/>
      <c r="L33" s="20"/>
      <c r="M33" s="75"/>
      <c r="N33" s="76"/>
    </row>
  </sheetData>
  <mergeCells count="111">
    <mergeCell ref="M10:N10"/>
    <mergeCell ref="B11:J12"/>
    <mergeCell ref="M11:N11"/>
    <mergeCell ref="M12:N12"/>
    <mergeCell ref="C13:D13"/>
    <mergeCell ref="E13:F13"/>
    <mergeCell ref="G13:H13"/>
    <mergeCell ref="I13:J13"/>
    <mergeCell ref="M13:N13"/>
    <mergeCell ref="B2:B10"/>
    <mergeCell ref="K2:M3"/>
    <mergeCell ref="K4:K6"/>
    <mergeCell ref="M4:N4"/>
    <mergeCell ref="M5:N5"/>
    <mergeCell ref="M6:N6"/>
    <mergeCell ref="M7:N7"/>
    <mergeCell ref="M8:N8"/>
    <mergeCell ref="M9:N9"/>
    <mergeCell ref="K10:K12"/>
    <mergeCell ref="C14:D14"/>
    <mergeCell ref="E14:F14"/>
    <mergeCell ref="G14:H14"/>
    <mergeCell ref="I14:J14"/>
    <mergeCell ref="M14:N14"/>
    <mergeCell ref="C15:D15"/>
    <mergeCell ref="E15:F15"/>
    <mergeCell ref="G15:H15"/>
    <mergeCell ref="I15:J15"/>
    <mergeCell ref="M15:N15"/>
    <mergeCell ref="M17:N17"/>
    <mergeCell ref="C18:D18"/>
    <mergeCell ref="E18:F18"/>
    <mergeCell ref="G18:H18"/>
    <mergeCell ref="I18:J18"/>
    <mergeCell ref="M18:N18"/>
    <mergeCell ref="C16:D16"/>
    <mergeCell ref="E16:F16"/>
    <mergeCell ref="G16:H16"/>
    <mergeCell ref="I16:J16"/>
    <mergeCell ref="K16:K18"/>
    <mergeCell ref="M16:N16"/>
    <mergeCell ref="C17:D17"/>
    <mergeCell ref="E17:F17"/>
    <mergeCell ref="G17:H17"/>
    <mergeCell ref="I17:J17"/>
    <mergeCell ref="C19:D19"/>
    <mergeCell ref="E19:F19"/>
    <mergeCell ref="G19:H19"/>
    <mergeCell ref="I19:J19"/>
    <mergeCell ref="M19:N19"/>
    <mergeCell ref="C20:D20"/>
    <mergeCell ref="E20:F20"/>
    <mergeCell ref="G20:H20"/>
    <mergeCell ref="I20:J20"/>
    <mergeCell ref="M20:N20"/>
    <mergeCell ref="M22:N22"/>
    <mergeCell ref="C23:D23"/>
    <mergeCell ref="E23:F23"/>
    <mergeCell ref="G23:H23"/>
    <mergeCell ref="I23:J23"/>
    <mergeCell ref="M23:N23"/>
    <mergeCell ref="C21:D21"/>
    <mergeCell ref="E21:F21"/>
    <mergeCell ref="G21:H21"/>
    <mergeCell ref="I21:J21"/>
    <mergeCell ref="M21:N21"/>
    <mergeCell ref="C22:D22"/>
    <mergeCell ref="E22:F22"/>
    <mergeCell ref="G22:H22"/>
    <mergeCell ref="I22:J22"/>
    <mergeCell ref="K22:K25"/>
    <mergeCell ref="C24:D24"/>
    <mergeCell ref="E24:F24"/>
    <mergeCell ref="G24:H24"/>
    <mergeCell ref="I24:J24"/>
    <mergeCell ref="M24:N24"/>
    <mergeCell ref="C25:D25"/>
    <mergeCell ref="E25:F25"/>
    <mergeCell ref="G25:H25"/>
    <mergeCell ref="I25:J25"/>
    <mergeCell ref="M25:N25"/>
    <mergeCell ref="C26:D26"/>
    <mergeCell ref="E26:F26"/>
    <mergeCell ref="G26:H26"/>
    <mergeCell ref="I26:J26"/>
    <mergeCell ref="M26:N26"/>
    <mergeCell ref="C27:D27"/>
    <mergeCell ref="E27:F27"/>
    <mergeCell ref="G27:H27"/>
    <mergeCell ref="I27:J27"/>
    <mergeCell ref="M27:N27"/>
    <mergeCell ref="C28:D28"/>
    <mergeCell ref="E28:F28"/>
    <mergeCell ref="G28:H28"/>
    <mergeCell ref="I28:J28"/>
    <mergeCell ref="K28:K30"/>
    <mergeCell ref="M28:N28"/>
    <mergeCell ref="C29:D29"/>
    <mergeCell ref="E29:F29"/>
    <mergeCell ref="G29:H29"/>
    <mergeCell ref="I29:J29"/>
    <mergeCell ref="C33:D33"/>
    <mergeCell ref="E33:F33"/>
    <mergeCell ref="G33:H33"/>
    <mergeCell ref="I33:J33"/>
    <mergeCell ref="M33:N33"/>
    <mergeCell ref="M31:N31"/>
    <mergeCell ref="M32:N32"/>
    <mergeCell ref="B30:J32"/>
    <mergeCell ref="M29:N29"/>
    <mergeCell ref="M30:N30"/>
  </mergeCells>
  <conditionalFormatting sqref="C4:H4">
    <cfRule type="expression" dxfId="19" priority="4" stopIfTrue="1">
      <formula>DAY(C4)&gt;8</formula>
    </cfRule>
  </conditionalFormatting>
  <conditionalFormatting sqref="C8:I10">
    <cfRule type="expression" dxfId="18" priority="3" stopIfTrue="1">
      <formula>AND(DAY(C8)&gt;=1,DAY(C8)&lt;=15)</formula>
    </cfRule>
  </conditionalFormatting>
  <conditionalFormatting sqref="C4:I9">
    <cfRule type="expression" dxfId="17" priority="5">
      <formula>VLOOKUP(DAY(C4),DíasDeTareas,1,FALSE)=DAY(C4)</formula>
    </cfRule>
  </conditionalFormatting>
  <conditionalFormatting sqref="B14:J29 B33:J33">
    <cfRule type="expression" dxfId="16" priority="2">
      <formula>B14&lt;&gt;""</formula>
    </cfRule>
  </conditionalFormatting>
  <conditionalFormatting sqref="B30">
    <cfRule type="expression" dxfId="15" priority="1">
      <formula>B30&lt;&gt;""</formula>
    </cfRule>
  </conditionalFormatting>
  <printOptions horizontalCentered="1"/>
  <pageMargins left="0.5" right="0.5" top="0.5" bottom="0.5" header="0.3" footer="0.3"/>
  <pageSetup scale="6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642A2AB2-C96A-4F1D-A896-B2666E5A2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37</vt:i4>
      </vt:variant>
    </vt:vector>
  </HeadingPairs>
  <TitlesOfParts>
    <vt:vector size="49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Año_Calendario</vt:lpstr>
      <vt:lpstr>Abril!Área_de_impresión</vt:lpstr>
      <vt:lpstr>Agosto!Área_de_impresión</vt:lpstr>
      <vt:lpstr>Diciembre!Área_de_impresión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  <vt:lpstr>Abril!DíasDeTareas</vt:lpstr>
      <vt:lpstr>Agosto!DíasDeTareas</vt:lpstr>
      <vt:lpstr>Diciembre!DíasDeTareas</vt:lpstr>
      <vt:lpstr>Febrero!DíasDeTareas</vt:lpstr>
      <vt:lpstr>Julio!DíasDeTareas</vt:lpstr>
      <vt:lpstr>Junio!DíasDeTareas</vt:lpstr>
      <vt:lpstr>Marzo!DíasDeTareas</vt:lpstr>
      <vt:lpstr>Mayo!DíasDeTareas</vt:lpstr>
      <vt:lpstr>Noviembre!DíasDeTareas</vt:lpstr>
      <vt:lpstr>Octubre!DíasDeTareas</vt:lpstr>
      <vt:lpstr>Septiembre!DíasDeTareas</vt:lpstr>
      <vt:lpstr>DíasDeTareas</vt:lpstr>
      <vt:lpstr>Abril!TablaFechasImportantes</vt:lpstr>
      <vt:lpstr>Agosto!TablaFechasImportantes</vt:lpstr>
      <vt:lpstr>Diciembre!TablaFechasImportantes</vt:lpstr>
      <vt:lpstr>Febrero!TablaFechasImportantes</vt:lpstr>
      <vt:lpstr>Julio!TablaFechasImportantes</vt:lpstr>
      <vt:lpstr>Junio!TablaFechasImportantes</vt:lpstr>
      <vt:lpstr>Marzo!TablaFechasImportantes</vt:lpstr>
      <vt:lpstr>Mayo!TablaFechasImportantes</vt:lpstr>
      <vt:lpstr>Noviembre!TablaFechasImportantes</vt:lpstr>
      <vt:lpstr>Octubre!TablaFechasImportantes</vt:lpstr>
      <vt:lpstr>Septiembre!TablaFechasImportantes</vt:lpstr>
      <vt:lpstr>TablaFechasImportantes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Transparencia Tecolotlán</cp:lastModifiedBy>
  <cp:lastPrinted>2021-04-29T18:58:35Z</cp:lastPrinted>
  <dcterms:created xsi:type="dcterms:W3CDTF">2015-11-13T18:10:35Z</dcterms:created>
  <dcterms:modified xsi:type="dcterms:W3CDTF">2021-04-29T18:58:39Z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TC025512749991</vt:lpwstr>
  </property>
</Properties>
</file>